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Questa_cartella_di_lavoro" defaultThemeVersion="124226"/>
  <mc:AlternateContent xmlns:mc="http://schemas.openxmlformats.org/markup-compatibility/2006">
    <mc:Choice Requires="x15">
      <x15ac:absPath xmlns:x15ac="http://schemas.microsoft.com/office/spreadsheetml/2010/11/ac" url="C:\Users\amministratore\Downloads\"/>
    </mc:Choice>
  </mc:AlternateContent>
  <xr:revisionPtr revIDLastSave="0" documentId="8_{9EBD4379-D874-4FA9-9D51-577A872F0DA2}" xr6:coauthVersionLast="47" xr6:coauthVersionMax="47" xr10:uidLastSave="{00000000-0000-0000-0000-000000000000}"/>
  <workbookProtection workbookAlgorithmName="SHA-512" workbookHashValue="TP3RPiOfoD5X8CXa2MayhjOpQMmvDl51w06bwTUExFKxKy/ezRZErh23SdIDU1DPjHCCpIT+JGTMPnTLzSWtyQ==" workbookSaltValue="Vb/1NMoGKbL2MbgFVARO0g==" workbookSpinCount="100000" lockStructure="1"/>
  <bookViews>
    <workbookView xWindow="-110" yWindow="-110" windowWidth="34620" windowHeight="14020" tabRatio="501" xr2:uid="{00000000-000D-0000-FFFF-FFFF00000000}"/>
  </bookViews>
  <sheets>
    <sheet name="Dashboard21" sheetId="40" r:id="rId1"/>
    <sheet name="Definizioni" sheetId="39" r:id="rId2"/>
    <sheet name="Previsionali" sheetId="26" r:id="rId3"/>
    <sheet name="ModPEF21" sheetId="41" r:id="rId4"/>
    <sheet name="gamma" sheetId="38" state="hidden" r:id="rId5"/>
  </sheets>
  <externalReferences>
    <externalReference r:id="rId6"/>
    <externalReference r:id="rId7"/>
  </externalReferences>
  <definedNames>
    <definedName name="_xlnm.Print_Area" localSheetId="0">Dashboard21!$B$3:$M$47</definedName>
    <definedName name="_xlnm.Print_Area" localSheetId="3">ModPEF21!$A$1:$J$144</definedName>
    <definedName name="AS2DocOpenMode" hidden="1">"AS2DocumentEdit"</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41" l="1"/>
  <c r="G107" i="41" l="1"/>
  <c r="G48" i="41"/>
  <c r="G46" i="41"/>
  <c r="G96" i="41" l="1"/>
  <c r="G95" i="41"/>
  <c r="F60" i="41"/>
  <c r="E60" i="41"/>
  <c r="E59" i="41" s="1"/>
  <c r="E58" i="41" l="1"/>
  <c r="F59" i="41"/>
  <c r="F58" i="41" s="1"/>
  <c r="G54" i="41" l="1"/>
  <c r="F62" i="41" l="1"/>
  <c r="E62" i="41"/>
  <c r="E31" i="41"/>
  <c r="G73" i="41"/>
  <c r="G80" i="41"/>
  <c r="G81" i="41"/>
  <c r="G82" i="41"/>
  <c r="F80" i="41"/>
  <c r="F81" i="41"/>
  <c r="F82" i="41"/>
  <c r="E80" i="41"/>
  <c r="E81" i="41"/>
  <c r="E82" i="41"/>
  <c r="G88" i="41"/>
  <c r="G89" i="41"/>
  <c r="G90" i="41"/>
  <c r="G91" i="41"/>
  <c r="E42" i="41"/>
  <c r="E37" i="41"/>
  <c r="E35" i="41"/>
  <c r="E34" i="41"/>
  <c r="E33" i="41"/>
  <c r="E32" i="41"/>
  <c r="E28" i="41"/>
  <c r="E25" i="41"/>
  <c r="E24" i="41"/>
  <c r="E19" i="41"/>
  <c r="E15" i="41"/>
  <c r="E12" i="41"/>
  <c r="E11" i="41"/>
  <c r="E7" i="41"/>
  <c r="G63" i="41"/>
  <c r="G56" i="41"/>
  <c r="G57" i="41" s="1"/>
  <c r="G55" i="41"/>
  <c r="G53" i="41"/>
  <c r="E13" i="41" l="1"/>
  <c r="G64" i="41"/>
  <c r="G65" i="41" s="1"/>
  <c r="F56" i="41"/>
  <c r="E56" i="41"/>
  <c r="E53" i="41"/>
  <c r="F53" i="41"/>
  <c r="E52" i="41"/>
  <c r="E51" i="41"/>
  <c r="E39" i="41"/>
  <c r="E10" i="41" l="1"/>
  <c r="E30" i="41" l="1"/>
  <c r="F52" i="41" l="1"/>
  <c r="F51" i="41"/>
  <c r="E19" i="26" l="1"/>
  <c r="G19" i="26"/>
  <c r="E20" i="26"/>
  <c r="G20" i="26"/>
  <c r="E21" i="26"/>
  <c r="G21" i="26"/>
  <c r="F42" i="41" l="1"/>
  <c r="F19" i="41"/>
  <c r="F15" i="41"/>
  <c r="F12" i="41"/>
  <c r="F39" i="41"/>
  <c r="G39" i="41" s="1"/>
  <c r="G120" i="41"/>
  <c r="G115" i="41"/>
  <c r="G114" i="41"/>
  <c r="G92" i="41"/>
  <c r="G93" i="41" s="1"/>
  <c r="G83" i="41"/>
  <c r="G84" i="41" s="1"/>
  <c r="F83" i="41"/>
  <c r="F84" i="41" s="1"/>
  <c r="E83" i="41"/>
  <c r="E84" i="41" s="1"/>
  <c r="G68" i="41"/>
  <c r="F64" i="41"/>
  <c r="E64" i="41"/>
  <c r="G62" i="41"/>
  <c r="G52" i="41"/>
  <c r="G51" i="41"/>
  <c r="G42" i="41"/>
  <c r="G41" i="41"/>
  <c r="E28" i="40"/>
  <c r="E11" i="40"/>
  <c r="C23" i="40" l="1"/>
  <c r="F18" i="41"/>
  <c r="F41" i="41"/>
  <c r="E18" i="41"/>
  <c r="E41" i="41"/>
  <c r="F120" i="41"/>
  <c r="E120" i="41"/>
  <c r="G18" i="26" l="1"/>
  <c r="E18" i="26"/>
  <c r="E15" i="26"/>
  <c r="E14" i="26"/>
  <c r="E13" i="26"/>
  <c r="D19" i="40" l="1"/>
  <c r="D18" i="40"/>
  <c r="G74" i="41"/>
  <c r="E18" i="40"/>
  <c r="G76" i="41" s="1"/>
  <c r="E10" i="26"/>
  <c r="F68" i="41" l="1"/>
  <c r="E68" i="41"/>
  <c r="E67" i="41" l="1"/>
  <c r="E66" i="41" s="1"/>
  <c r="F67" i="41"/>
  <c r="F66" i="41" s="1"/>
  <c r="E110" i="41" l="1"/>
  <c r="F35" i="41" l="1"/>
  <c r="G35" i="41" s="1"/>
  <c r="F34" i="41"/>
  <c r="G34" i="41" s="1"/>
  <c r="F32" i="41"/>
  <c r="G32" i="41" s="1"/>
  <c r="F33" i="41"/>
  <c r="G33" i="41" s="1"/>
  <c r="F31" i="41"/>
  <c r="G31" i="41" s="1"/>
  <c r="F30" i="41"/>
  <c r="G30" i="41" s="1"/>
  <c r="F11" i="41"/>
  <c r="F10" i="41"/>
  <c r="G10" i="41" s="1"/>
  <c r="F25" i="41"/>
  <c r="G25" i="41" s="1"/>
  <c r="G11" i="41" l="1"/>
  <c r="F13" i="41"/>
  <c r="F28" i="41"/>
  <c r="G28" i="41" l="1"/>
  <c r="F37" i="41" l="1"/>
  <c r="G37" i="41" s="1"/>
  <c r="F36" i="41" l="1"/>
  <c r="F38" i="41" l="1"/>
  <c r="F40" i="41" l="1"/>
  <c r="F17" i="41" l="1"/>
  <c r="F43" i="41"/>
  <c r="G66" i="41" l="1"/>
  <c r="F113" i="41"/>
  <c r="F20" i="41"/>
  <c r="F119" i="41"/>
  <c r="G58" i="41" l="1"/>
  <c r="G59" i="41"/>
  <c r="G67" i="41"/>
  <c r="F112" i="41"/>
  <c r="F110" i="41" l="1"/>
  <c r="G110" i="41" s="1"/>
  <c r="F111" i="41"/>
  <c r="G13" i="41" l="1"/>
  <c r="G97" i="41" l="1"/>
  <c r="E34" i="40" l="1"/>
  <c r="F24" i="41" l="1"/>
  <c r="F8" i="41"/>
  <c r="F7" i="41"/>
  <c r="G7" i="41" s="1"/>
  <c r="F6" i="41"/>
  <c r="G24" i="41" l="1"/>
  <c r="E6" i="41" l="1"/>
  <c r="G6" i="41" s="1"/>
  <c r="E9" i="41" l="1"/>
  <c r="E27" i="41"/>
  <c r="E26" i="41"/>
  <c r="E8" i="41"/>
  <c r="G8" i="41" s="1"/>
  <c r="E29" i="41" l="1"/>
  <c r="E36" i="41" l="1"/>
  <c r="E38" i="41" l="1"/>
  <c r="G36" i="41"/>
  <c r="G38" i="41" l="1"/>
  <c r="F44" i="41" l="1"/>
  <c r="G44" i="41" s="1"/>
  <c r="G21" i="41" l="1"/>
  <c r="F27" i="41" l="1"/>
  <c r="G27" i="41" s="1"/>
  <c r="F9" i="41"/>
  <c r="G9" i="41" s="1"/>
  <c r="F26" i="41"/>
  <c r="F14" i="41"/>
  <c r="F16" i="41" s="1"/>
  <c r="F29" i="41" l="1"/>
  <c r="G26" i="41"/>
  <c r="F22" i="41"/>
  <c r="F45" i="41" l="1"/>
  <c r="G29" i="41"/>
  <c r="F47" i="41" l="1"/>
  <c r="E14" i="41" l="1"/>
  <c r="E16" i="41" l="1"/>
  <c r="G16" i="41" s="1"/>
  <c r="G14" i="41"/>
  <c r="E40" i="41" l="1"/>
  <c r="G40" i="41" l="1"/>
  <c r="E43" i="41"/>
  <c r="E113" i="41" l="1"/>
  <c r="G113" i="41" s="1"/>
  <c r="G43" i="41"/>
  <c r="E45" i="41"/>
  <c r="E17" i="41"/>
  <c r="E20" i="41" l="1"/>
  <c r="E119" i="41"/>
  <c r="G119" i="41" s="1"/>
  <c r="G17" i="41"/>
  <c r="C7" i="38" s="1"/>
  <c r="G45" i="41"/>
  <c r="G69" i="41" s="1"/>
  <c r="K11" i="40" s="1"/>
  <c r="K13" i="40" s="1"/>
  <c r="F14" i="40" l="1"/>
  <c r="F12" i="40"/>
  <c r="F13" i="40"/>
  <c r="E112" i="41"/>
  <c r="G20" i="41"/>
  <c r="E22" i="41"/>
  <c r="G22" i="41" l="1"/>
  <c r="G61" i="41" s="1"/>
  <c r="E47" i="41"/>
  <c r="G47" i="41" s="1"/>
  <c r="G112" i="41"/>
  <c r="E111" i="41"/>
  <c r="G111" i="41" s="1"/>
  <c r="F55" i="41" l="1"/>
  <c r="F57" i="41" s="1"/>
  <c r="F54" i="41"/>
  <c r="E55" i="41"/>
  <c r="E57" i="41" s="1"/>
  <c r="F63" i="41"/>
  <c r="F65" i="41" s="1"/>
  <c r="F69" i="41" s="1"/>
  <c r="E54" i="41"/>
  <c r="E63" i="41"/>
  <c r="E65" i="41" s="1"/>
  <c r="E69" i="41" s="1"/>
  <c r="J11" i="40"/>
  <c r="G70" i="41"/>
  <c r="G94" i="41" s="1"/>
  <c r="G98" i="41" l="1"/>
  <c r="G100" i="41"/>
  <c r="E115" i="41"/>
  <c r="F114" i="41"/>
  <c r="F61" i="41"/>
  <c r="F70" i="41" s="1"/>
  <c r="J13" i="40"/>
  <c r="J15" i="40" s="1"/>
  <c r="J9" i="40"/>
  <c r="E114" i="41"/>
  <c r="E61" i="41"/>
  <c r="E70" i="41" s="1"/>
  <c r="F115" i="41"/>
  <c r="G101" i="41" l="1"/>
  <c r="E19" i="40"/>
  <c r="G75" i="41" s="1"/>
  <c r="E35" i="40"/>
  <c r="J20" i="40"/>
  <c r="E32" i="40"/>
  <c r="J22" i="40" l="1"/>
  <c r="K22" i="40" s="1"/>
  <c r="K29" i="40" s="1"/>
  <c r="K30" i="40" s="1"/>
  <c r="G104" i="41" l="1"/>
  <c r="G105" i="41" s="1"/>
  <c r="J29" i="40"/>
  <c r="J30"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Nicoletta Barabaschi</author>
  </authors>
  <commentList>
    <comment ref="C32" authorId="0" shapeId="0" xr:uid="{00000000-0006-0000-0200-000001000000}">
      <text>
        <r>
          <rPr>
            <b/>
            <sz val="9"/>
            <color rgb="FF000000"/>
            <rFont val="Tahoma"/>
            <family val="2"/>
          </rPr>
          <t>Nota:</t>
        </r>
        <r>
          <rPr>
            <sz val="9"/>
            <color rgb="FF000000"/>
            <rFont val="Tahoma"/>
            <family val="2"/>
          </rPr>
          <t xml:space="preserve">
</t>
        </r>
        <r>
          <rPr>
            <sz val="9"/>
            <color rgb="FF000000"/>
            <rFont val="Tahoma"/>
            <family val="2"/>
          </rPr>
          <t>COITV ha natura previsionale ed è destinata alla copertura degli oneri variabili attesi relativi al conseguimento di target di miglioramento dei livelli di qualità e/o alle modifiche del perimetro gestionale, di cui al comma 7.10</t>
        </r>
      </text>
    </comment>
    <comment ref="C33" authorId="0" shapeId="0" xr:uid="{00000000-0006-0000-0200-000002000000}">
      <text>
        <r>
          <rPr>
            <b/>
            <sz val="9"/>
            <color rgb="FF000000"/>
            <rFont val="Tahoma"/>
            <family val="2"/>
          </rPr>
          <t>Nota:</t>
        </r>
        <r>
          <rPr>
            <sz val="9"/>
            <color rgb="FF000000"/>
            <rFont val="Tahoma"/>
            <family val="2"/>
          </rPr>
          <t xml:space="preserve">
</t>
        </r>
        <r>
          <rPr>
            <sz val="9"/>
            <color rgb="FF000000"/>
            <rFont val="Tahoma"/>
            <family val="2"/>
          </rPr>
          <t>COITF ha natura previsionale ed è destinata alla copertura degli oneri fissi attesi relativi al conseguimento di target di miglioramento dei livelli di qualità e/o alle modifiche del perimetro gestionale, di cui al comma 7.10</t>
        </r>
      </text>
    </comment>
  </commentList>
</comments>
</file>

<file path=xl/sharedStrings.xml><?xml version="1.0" encoding="utf-8"?>
<sst xmlns="http://schemas.openxmlformats.org/spreadsheetml/2006/main" count="470" uniqueCount="337">
  <si>
    <t xml:space="preserve"> di cui quote fisse</t>
  </si>
  <si>
    <t xml:space="preserve"> di cui quote variabili</t>
  </si>
  <si>
    <t>Ricavi da TARI (attività inserite nel perimetro)</t>
  </si>
  <si>
    <t>Ricavi da TARI (attività NON inserite nel perimetro)</t>
  </si>
  <si>
    <t>b</t>
  </si>
  <si>
    <t>w</t>
  </si>
  <si>
    <t>g</t>
  </si>
  <si>
    <t>x</t>
  </si>
  <si>
    <t>r</t>
  </si>
  <si>
    <r>
      <t>g</t>
    </r>
    <r>
      <rPr>
        <vertAlign val="subscript"/>
        <sz val="11"/>
        <color theme="1"/>
        <rFont val="Symbol"/>
        <family val="1"/>
        <charset val="2"/>
      </rPr>
      <t>1</t>
    </r>
  </si>
  <si>
    <r>
      <t>g</t>
    </r>
    <r>
      <rPr>
        <vertAlign val="subscript"/>
        <sz val="11"/>
        <color theme="1"/>
        <rFont val="Symbol"/>
        <family val="1"/>
        <charset val="2"/>
      </rPr>
      <t>2</t>
    </r>
    <r>
      <rPr>
        <sz val="11"/>
        <color theme="1"/>
        <rFont val="Calibri"/>
        <family val="2"/>
        <scheme val="minor"/>
      </rPr>
      <t/>
    </r>
  </si>
  <si>
    <r>
      <t>g</t>
    </r>
    <r>
      <rPr>
        <vertAlign val="subscript"/>
        <sz val="11"/>
        <color theme="1"/>
        <rFont val="Symbol"/>
        <family val="1"/>
        <charset val="2"/>
      </rPr>
      <t>3</t>
    </r>
    <r>
      <rPr>
        <sz val="11"/>
        <color theme="1"/>
        <rFont val="Calibri"/>
        <family val="2"/>
        <scheme val="minor"/>
      </rPr>
      <t/>
    </r>
  </si>
  <si>
    <t>QL</t>
  </si>
  <si>
    <t>[0,3 ;0,6]</t>
  </si>
  <si>
    <t>[0,1 ;0,4]</t>
  </si>
  <si>
    <t>[1 ; 4]</t>
  </si>
  <si>
    <t>COITV</t>
  </si>
  <si>
    <t>COITF</t>
  </si>
  <si>
    <t>Ta/Ta-1≤ (1 + 𝜌𝑎 )</t>
  </si>
  <si>
    <t>𝜌𝑎 = 𝑟𝑝𝑖𝑎 − 𝑋𝑎 + 𝑄𝐿𝑎 + 𝑃𝐺𝑎</t>
  </si>
  <si>
    <t>PG</t>
  </si>
  <si>
    <t>rpi</t>
  </si>
  <si>
    <t>[0% ;2%]</t>
  </si>
  <si>
    <t>[0% ;3%]</t>
  </si>
  <si>
    <t>16.5a</t>
  </si>
  <si>
    <t>16.5b</t>
  </si>
  <si>
    <t>16.6a</t>
  </si>
  <si>
    <t>16.6b</t>
  </si>
  <si>
    <t>[-0.45 ;-0.3]</t>
  </si>
  <si>
    <t>[-0.3 ;-0.15]</t>
  </si>
  <si>
    <t>[-0.15 ;-0.05]</t>
  </si>
  <si>
    <t>[-0.45 ;-0.25]</t>
  </si>
  <si>
    <t>[-0.3 ;-0.2]</t>
  </si>
  <si>
    <t>[-0.25 ;-0.06]</t>
  </si>
  <si>
    <t>[-0.2 ;-0.03]</t>
  </si>
  <si>
    <t>[-0.05 ;-0.01]</t>
  </si>
  <si>
    <t>Limite tariffario</t>
  </si>
  <si>
    <t>(cliccare sul link)</t>
  </si>
  <si>
    <t>Dati PEF</t>
  </si>
  <si>
    <t>Volumi (tonnellate)</t>
  </si>
  <si>
    <t>Componenti previsionali di costo</t>
  </si>
  <si>
    <t>Input</t>
  </si>
  <si>
    <t>Dati di Input comunali:</t>
  </si>
  <si>
    <t>Dati da PEF</t>
  </si>
  <si>
    <t>Legenda compilazione</t>
  </si>
  <si>
    <t>Campo a compilazione libera</t>
  </si>
  <si>
    <t>Calcolo o visualizzazione dei valori automatica</t>
  </si>
  <si>
    <t>Campi non modificabili</t>
  </si>
  <si>
    <t>Campi con scelta da menù a tendina</t>
  </si>
  <si>
    <t>Parametri da inserire a cura dell'ente territorialmente competente</t>
  </si>
  <si>
    <t>Corrispettivi calcolati</t>
  </si>
  <si>
    <t>Valutazione rispetto obiettivi %RD</t>
  </si>
  <si>
    <t>Valutazione performance riutilizzo/riciclo</t>
  </si>
  <si>
    <t>Valutazione soddisfazione utenti</t>
  </si>
  <si>
    <t>Sharing dei ricavi e gradualità recupero conguagli</t>
  </si>
  <si>
    <t>Range di scelta</t>
  </si>
  <si>
    <t>Compilare le celle rosa</t>
  </si>
  <si>
    <t>Anno 2020</t>
  </si>
  <si>
    <r>
      <t>T</t>
    </r>
    <r>
      <rPr>
        <vertAlign val="subscript"/>
        <sz val="11"/>
        <color theme="1"/>
        <rFont val="Arial Narrow"/>
        <family val="2"/>
      </rPr>
      <t>a</t>
    </r>
    <r>
      <rPr>
        <sz val="11"/>
        <color theme="1"/>
        <rFont val="Arial Narrow"/>
        <family val="2"/>
      </rPr>
      <t xml:space="preserve"> riconosciuta</t>
    </r>
  </si>
  <si>
    <t>Costo Unitario effettivo</t>
  </si>
  <si>
    <r>
      <rPr>
        <sz val="11"/>
        <color theme="1"/>
        <rFont val="Symbol"/>
        <family val="1"/>
        <charset val="2"/>
      </rPr>
      <t>D</t>
    </r>
    <r>
      <rPr>
        <sz val="11"/>
        <color theme="1"/>
        <rFont val="Arial Narrow"/>
        <family val="2"/>
      </rPr>
      <t xml:space="preserve"> non riconosciuto</t>
    </r>
  </si>
  <si>
    <t>Limite di crescita della tariffa variabile</t>
  </si>
  <si>
    <t>Limite di crescita della tariffa</t>
  </si>
  <si>
    <t>Torna a Pannello di controllo</t>
  </si>
  <si>
    <t>Contributo del MIUR per le istituzioni scolastiche statali ai sensi dell’articolo 33 bis del decreto-legge 248/07</t>
  </si>
  <si>
    <t>Entrate effettivamente conseguite a seguito dell’attività di recupero dell'evasione</t>
  </si>
  <si>
    <t>Entrate derivanti da procedure sanzionatorie</t>
  </si>
  <si>
    <t>Ulteriori partite approvate dall’Ente territorialmente competente</t>
  </si>
  <si>
    <t>Link a documenti utili</t>
  </si>
  <si>
    <t>Nota di approdonfimento IFEL al MTR</t>
  </si>
  <si>
    <t>https://www.fondazioneifel.it/documenti-e-pubblicazioni/item/download/3680_95cb738a732fe0012e47716ae3b6ae12</t>
  </si>
  <si>
    <t>Chiarimenti su aspetti applicativi (Determinazione 02/DRIF/2020)</t>
  </si>
  <si>
    <t>https://www.arera.it/allegati/docs/20/002-20drif.pdf</t>
  </si>
  <si>
    <t>Nota IFEL per il calcolo del costo standard del servizio rifiuti</t>
  </si>
  <si>
    <t>https://www.fondazioneifel.it/ifelinforma-news/item/download/3509_2877b8d3e463b73b756ef1ea03d2b52e</t>
  </si>
  <si>
    <t>g1</t>
  </si>
  <si>
    <r>
      <t>g2</t>
    </r>
    <r>
      <rPr>
        <sz val="11"/>
        <color theme="1"/>
        <rFont val="Calibri"/>
        <family val="2"/>
        <scheme val="minor"/>
      </rPr>
      <t/>
    </r>
  </si>
  <si>
    <r>
      <t>g3</t>
    </r>
    <r>
      <rPr>
        <sz val="11"/>
        <color theme="1"/>
        <rFont val="Calibri"/>
        <family val="2"/>
        <scheme val="minor"/>
      </rPr>
      <t/>
    </r>
  </si>
  <si>
    <t>https://www.arera.it/allegati/docs/20/057-20.pdf</t>
  </si>
  <si>
    <t>Semplificazioni procedurali in ordine alla disciplina tariffaria del servizio integrato dei rifiuti (Deliberazione 57/2020/R/rif)</t>
  </si>
  <si>
    <t>Informazioni aggiuntive</t>
  </si>
  <si>
    <t>Altre informazioni</t>
  </si>
  <si>
    <t>Fabbisogno standard o costo medio di settore (euto/ton)</t>
  </si>
  <si>
    <t>Input dati 
Ciclo integrato RU</t>
  </si>
  <si>
    <t>Legenda celle</t>
  </si>
  <si>
    <t>G</t>
  </si>
  <si>
    <t>compilazione libera</t>
  </si>
  <si>
    <t>non compilabile</t>
  </si>
  <si>
    <t>celle contenenti formule</t>
  </si>
  <si>
    <t>celle contenenti formule/totali</t>
  </si>
  <si>
    <t>E</t>
  </si>
  <si>
    <t>C</t>
  </si>
  <si>
    <t>Oneri relativi all'IVA indetraibile</t>
  </si>
  <si>
    <t xml:space="preserve">                        - di cui costi di gestione post-operativa delle discariche</t>
  </si>
  <si>
    <t xml:space="preserve">                        - di cui per crediti</t>
  </si>
  <si>
    <t xml:space="preserve">                        - di cui per rischi e oneri previsti da normativa di settore e/o dal contratto di affidamento</t>
  </si>
  <si>
    <t xml:space="preserve">                        - di cui per altri non in eccesso rispetto a norme tributarie</t>
  </si>
  <si>
    <t>Detrazioni di cui al comma 1.4 della Determina n. 2/DRIF/2020</t>
  </si>
  <si>
    <t xml:space="preserve">Grandezze fisico-tecniche </t>
  </si>
  <si>
    <t>Coefficiente di gradualità</t>
  </si>
  <si>
    <t>Verifica del limite di crescita</t>
  </si>
  <si>
    <r>
      <t>rpi</t>
    </r>
    <r>
      <rPr>
        <i/>
        <vertAlign val="subscript"/>
        <sz val="12"/>
        <color theme="1"/>
        <rFont val="Calibri"/>
        <family val="2"/>
        <scheme val="minor"/>
      </rPr>
      <t>a</t>
    </r>
  </si>
  <si>
    <t>MTR</t>
  </si>
  <si>
    <t xml:space="preserve">Attività esterne Ciclo integrato RU </t>
  </si>
  <si>
    <t>Tariffa finale</t>
  </si>
  <si>
    <t>Tariffa complessiva riconosciuta</t>
  </si>
  <si>
    <t>Scomposizione della tariffa</t>
  </si>
  <si>
    <t>Attività fuori perimetro</t>
  </si>
  <si>
    <t>Benchmark di riferimento</t>
  </si>
  <si>
    <t>[0,1% ;0,5%]</t>
  </si>
  <si>
    <t>Indicare le seguenti entrate (art. 1.4 Det. 02/DRIF/2020):</t>
  </si>
  <si>
    <t>COVTV</t>
  </si>
  <si>
    <t>COVTF</t>
  </si>
  <si>
    <t>COSTV</t>
  </si>
  <si>
    <t>C19</t>
  </si>
  <si>
    <t>Riclassificazione dei costi fissi e variabili per il rispetto condizione art. 3 MTR</t>
  </si>
  <si>
    <t>Componenti previsionali di costo in relazione all'emergenza sanitaria da COVID-19</t>
  </si>
  <si>
    <t>Tariffa complessiva ex MTR</t>
  </si>
  <si>
    <t>Comp. variabile</t>
  </si>
  <si>
    <t>Comp. fissa</t>
  </si>
  <si>
    <t>Tariffa finale ex MTR</t>
  </si>
  <si>
    <t>Ulteriori costi riconosciuti dall'ETC (art 4.5 e 4.6 del MTR)</t>
  </si>
  <si>
    <t>Rimodulazione TV nel rispetto condizione art. 3 MTR</t>
  </si>
  <si>
    <t>https://www.arera.it/allegati/docs/20/158-20.pdf</t>
  </si>
  <si>
    <t>https://www.arera.it/allegati/docs/20/238-20.pdf</t>
  </si>
  <si>
    <t>Adozione di misure urgenti a tutela delle utenze alla luce dell’emergenza da Covid-19 (Deliberazione 158/2020/R/rif)</t>
  </si>
  <si>
    <t>Adozione di misure per la copertura dei costi efficienti di esercizio e di investimento del servizio di gestione integrata dei rifiuti, anche differenziati, urbani e assimilati, per il periodo 2020-2021 tenuto conto dell’emergenza epidemiologica da covid-19 (Delibera 238/2020/R/rif)</t>
  </si>
  <si>
    <t>Detrazioni comma 4.5 del.443/2019 (segno +)</t>
  </si>
  <si>
    <t>Entrate art.1.4 Det. 02/DRIF/2020 (segno +)</t>
  </si>
  <si>
    <t xml:space="preserve">Componenti di costo e rispettive attività del ciclo integrato dei RU </t>
  </si>
  <si>
    <t xml:space="preserve">Componenti di costo </t>
  </si>
  <si>
    <t>Descrizione</t>
  </si>
  <si>
    <t>Riferimenti nell'Allegato A della deliberazione 443/2019/R/rif</t>
  </si>
  <si>
    <t>CRTa</t>
  </si>
  <si>
    <r>
      <rPr>
        <i/>
        <sz val="11"/>
        <color theme="1"/>
        <rFont val="Arial Narrow"/>
        <family val="2"/>
      </rPr>
      <t xml:space="preserve">Costi operativi per l’attività di raccolta e trasporto dei rifiuti urbani indifferenziati. </t>
    </r>
    <r>
      <rPr>
        <sz val="11"/>
        <color theme="1"/>
        <rFont val="Arial Narrow"/>
        <family val="2"/>
      </rPr>
      <t xml:space="preserve">
Insieme delle operazioni di raccolta (svolta secondo diversi modelli di organizzazione del servizio: porta a porta, stradale, misto, di prossimità e a chiamata) e di trasporto dei rifiuti urbani indifferenziati verso impianti di trattamento, recupero e smaltimento, con o senza trasbordo su mezzi di maggiori dimensioni. Sono altresì incluse le seguenti operazioni: raccolta e trasporto dei rifiuti da esumazioni ed estumulazioni, nonché degli altri rifiuti provenienti da attività cimiteriale; gestione delle isole ecologiche (anche mobili) e delle aree di transfer;  lavaggio e sanificazione dei contenitori della raccolta dei rifiuti indifferenziati; raccolta e gestione dei dati relativi al conferimento dei rifiuti da parte degli utenti e del successivo conferimento agli impianti di trattamento e di smaltimento.</t>
    </r>
  </si>
  <si>
    <t xml:space="preserve">art. 6 e comma 7.3 </t>
  </si>
  <si>
    <t>CTSa</t>
  </si>
  <si>
    <r>
      <rPr>
        <i/>
        <sz val="11"/>
        <color theme="1"/>
        <rFont val="Arial Narrow"/>
        <family val="2"/>
      </rPr>
      <t>Costi operativi per l’attività di trattamento e smaltimento dei rifiuti urbani, incluse eventuali operazioni di pretrattamento dei rifiuti urbani residui</t>
    </r>
    <r>
      <rPr>
        <sz val="11"/>
        <color theme="1"/>
        <rFont val="Arial Narrow"/>
        <family val="2"/>
      </rPr>
      <t>, nonché le seguenti operazioni: trattamento presso gli impianti di trattamento meccanico-biologico costituiti da unità di trattamento meccanico (per esempio: separatori, compattatori, sezioni di tritovagliatura) e/o unità di trattamento biologico (a titolo esemplificativo, bioessiccazione, biostabilizzazione, digestione anaerobica), attribuiti secondo un criterio di ripartizione basato sulla quantità dei rifiuti urbani avviati a successivo smaltimento; smaltimento presso gli impianti di incenerimento senza recupero energetico e smaltimento in impianti di discarica controllata.</t>
    </r>
  </si>
  <si>
    <t>art. 6 e comma 7.4</t>
  </si>
  <si>
    <t>CTRa</t>
  </si>
  <si>
    <r>
      <rPr>
        <i/>
        <sz val="11"/>
        <color theme="1"/>
        <rFont val="Arial Narrow"/>
        <family val="2"/>
      </rPr>
      <t>Costi operativi per l’attività di trattamento e di recupero dei rifiuti urbani e delle operazioni per il conferimento delle frazioni della raccolta differenziata alle piattaforme o agli impianti di trattamento (finalizzato al riciclo e al riutilizzo, o in generale al recupero)</t>
    </r>
    <r>
      <rPr>
        <sz val="11"/>
        <color theme="1"/>
        <rFont val="Arial Narrow"/>
        <family val="2"/>
      </rPr>
      <t xml:space="preserve">, che include le seguenti operazioni: trattamento presso gli impianti di trattamento meccanico-biologico costituiti da unità di trattamento meccanico e/o unità di trattamento biologico, attribuiti secondo un criterio di ripartizione basato sulla quantità dei rifiuti urbani avviati a successivo recupero; recupero energetico realizzato presso gli impianti di incenerimento; conferimento della frazione organica agli impianti di compostaggio, di digestione anaerobica o misti; commercializzazione e valorizzazione delle frazioni differenziate dei rifiuti raccolti.
</t>
    </r>
    <r>
      <rPr>
        <sz val="11"/>
        <color theme="4"/>
        <rFont val="Arial Narrow"/>
        <family val="2"/>
      </rPr>
      <t>ATTENZIONE: Comprende le spese relative ai rifiuti mandati a inceneritori con recupero energetico</t>
    </r>
  </si>
  <si>
    <t>art. 6 e comma 7.6</t>
  </si>
  <si>
    <t>CRDa</t>
  </si>
  <si>
    <r>
      <rPr>
        <i/>
        <sz val="11"/>
        <color theme="1"/>
        <rFont val="Arial Narrow"/>
        <family val="2"/>
      </rPr>
      <t>Costi operativi per l’attività di raccolta e trasporto delle frazioni differenziate</t>
    </r>
    <r>
      <rPr>
        <sz val="11"/>
        <color theme="1"/>
        <rFont val="Arial Narrow"/>
        <family val="2"/>
      </rPr>
      <t>, ossia l'insieme delle operazioni di raccolta (svolta secondo diversi modelli di organizzazione del servizio: porta a porta, stradale e misto) e di trasporto delle frazioni differenziate dei rifiuti urbani verso impianti di trattamento e di riutilizzo e/o di recupero, con o senza trasbordo su mezzi di maggiori dimensioni. Sono altresì incluse le seguenti operazioni: gestione delle isole ecologiche (anche mobili), dei centri di raccolta e delle aree di transfer; raccolta e trasporto dei rifiuti urbani pericolosi; raccolta dei rifiuti vegetali ad esempio foglie, sfalci, potature provenienti da aree verdi (quali giardini, parchi e aree cimiteriali); lavaggio e sanificazione dei contenitori della raccolta delle frazioni differenziate dei rifiuti; raccolta e gestione dei dati relativi al conferimento delle frazioni differenziate dei rifiuti da parte delle utenze e del successivo conferimento agli impianti di trattamento e di riutilizzo e/o di recupero.</t>
    </r>
  </si>
  <si>
    <t>art. 6 e comma 7.5</t>
  </si>
  <si>
    <t>CSLa</t>
  </si>
  <si>
    <r>
      <rPr>
        <i/>
        <sz val="11"/>
        <color theme="1"/>
        <rFont val="Arial Narrow"/>
        <family val="2"/>
      </rPr>
      <t>Costi operativi per l’attività di spazzamento e lavaggio</t>
    </r>
    <r>
      <rPr>
        <sz val="11"/>
        <color theme="1"/>
        <rFont val="Arial Narrow"/>
        <family val="2"/>
      </rPr>
      <t xml:space="preserve">, ossia l'insieme delle operazioni di spazzamento meccanizzato, manuale e misto, di lavaggio strade e suolo pubblico, svuotamento cestini e raccolta foglie, </t>
    </r>
    <r>
      <rPr>
        <u/>
        <sz val="11"/>
        <color theme="1"/>
        <rFont val="Arial Narrow"/>
        <family val="2"/>
      </rPr>
      <t>escluse le operazioni di sgombero della neve dalla sede stradale e sue pertinenze</t>
    </r>
    <r>
      <rPr>
        <sz val="11"/>
        <color theme="1"/>
        <rFont val="Arial Narrow"/>
        <family val="2"/>
      </rPr>
      <t>, effettuate al solo scopo di garantire la loro fruibilità e la sicurezza del transito. Sono altresì incluse la raccolta dei rifiuti abbandonati su strade o aree pubbliche, o su strade private soggette ad uso pubblico, su arenili e rive fluviali e lacuali, nonché aree cimiteriali.</t>
    </r>
  </si>
  <si>
    <t>art. 6 e comma 7.2</t>
  </si>
  <si>
    <t>CARCa</t>
  </si>
  <si>
    <r>
      <rPr>
        <i/>
        <sz val="11"/>
        <color theme="1"/>
        <rFont val="Arial Narrow"/>
        <family val="2"/>
      </rPr>
      <t>Costi operativi per l’attività di gestione delle tariffe e dei rapporti con gli utenti</t>
    </r>
    <r>
      <rPr>
        <sz val="11"/>
        <color theme="1"/>
        <rFont val="Arial Narrow"/>
        <family val="2"/>
      </rPr>
      <t>, che comprende le operazioni di: accertamento, riscossione (incluse le attività di bollettazione e l'invio degli avvisi di pagamento); gestione del rapporto con gli utenti (inclusa la gestione reclami) anche mediante sportelli dedicati o call-center; gestione della banca dati degli utenti e delle utenze, dei crediti e del contenzioso; promozione di campagne ambientali di cui al comma 9.2, lett. a); prevenzione della produzione di rifiuti urbani di cui al comma 9.2, lett. b).</t>
    </r>
  </si>
  <si>
    <t>commi 9.1 e 9.2</t>
  </si>
  <si>
    <t>CGGa</t>
  </si>
  <si>
    <t>Costi generali di gestione relativi sia al personale non direttamente impiegato nelle attività operative del servizio integrato di gestione dei RU, sia, in generale, la quota parte dei costi di struttura.</t>
  </si>
  <si>
    <t xml:space="preserve">comma 9.1 </t>
  </si>
  <si>
    <t>CCDa</t>
  </si>
  <si>
    <r>
      <rPr>
        <i/>
        <sz val="11"/>
        <color theme="1"/>
        <rFont val="Arial Narrow"/>
        <family val="2"/>
      </rPr>
      <t>Costi relativi alla quota di crediti inesigibili</t>
    </r>
    <r>
      <rPr>
        <sz val="11"/>
        <color theme="1"/>
        <rFont val="Arial Narrow"/>
        <family val="2"/>
      </rPr>
      <t xml:space="preserve"> determinati: 
- nel caso di TARI tributo, secondo la normativa vigente; 
- nel caso di tariffa corrispettiva, considerando i crediti per i quali l’ente locale/gestore abbia esaurito infruttuosamente tutte le azioni giudiziarie a sua disposizione per il recupero del credito o, alternativamente, nel caso Allegato A 16 sia stata avviata una procedura concorsuale nei confronti del soggetto debitore, per la parte non coperta da fondi svalutazione o rischi ovvero da garanzia assicurativa.</t>
    </r>
  </si>
  <si>
    <t>comma 9.1</t>
  </si>
  <si>
    <r>
      <t>CO</t>
    </r>
    <r>
      <rPr>
        <b/>
        <sz val="8"/>
        <color theme="1"/>
        <rFont val="Arial Narrow"/>
        <family val="2"/>
      </rPr>
      <t>AL</t>
    </r>
    <r>
      <rPr>
        <b/>
        <sz val="11"/>
        <color theme="1"/>
        <rFont val="Arial Narrow"/>
        <family val="2"/>
      </rPr>
      <t>a</t>
    </r>
  </si>
  <si>
    <r>
      <t xml:space="preserve">Include la quota degli oneri di funzionamento degli Enti territorialmente competenti, di ARERA, nonché gli oneri locali, che comprendono gli oneri aggiuntivi per canoni/compensazioni territoriali, gli altri oneri tributari locali, gli eventuali oneri relativi a fondi perequativi fissati dall’Ente territorialmente competente.
</t>
    </r>
    <r>
      <rPr>
        <sz val="11"/>
        <color theme="4"/>
        <rFont val="Arial Narrow"/>
        <family val="2"/>
      </rPr>
      <t>Comprende:
Contributo funzionamento EGATO/ARERA
Oneri di mitigazione ambientale
Oneri ambientali (tasse SO2 e Nox)
Oneri tributari locali (IMU,...)
Oneri per compensazioni territoriali
Oneri relativi a fondi perequativi fissati dall’Ente territorialmente competente
Oneri per la gestione post-operativa delle discariche autorizzate e dei costi di chiusura nel caso in cui le risorse accantonate in conformità alla normativa vigente risultatino insufficienti a garantire il ripristino ambientale del sito medesimo (art. 9.3)
La componente include la quota degli oneri di funzionamento di ARERA effettivamente sostenuti dal gestore nell’anno 2020 con riferimento alla competenza relativa all’anno 2018.</t>
    </r>
  </si>
  <si>
    <t>comma 9.1  MTR e comma 1.8 DETERMINAZIONE N. 02/DRIF/2020</t>
  </si>
  <si>
    <r>
      <t>CO</t>
    </r>
    <r>
      <rPr>
        <b/>
        <sz val="8"/>
        <color theme="1"/>
        <rFont val="Arial Narrow"/>
        <family val="2"/>
      </rPr>
      <t>AL</t>
    </r>
    <r>
      <rPr>
        <b/>
        <sz val="11"/>
        <color theme="1"/>
        <rFont val="Arial Narrow"/>
        <family val="2"/>
      </rPr>
      <t>a-2</t>
    </r>
  </si>
  <si>
    <t xml:space="preserve">Nel calcolo delle componenti a conguaglio relative agli anni 2018 e 2019, la componente COALa-2 ricomprende, oltre a quanto precisato al comma 9.1, anche le seguenti voci: i conguagli/recuperi pregressi già deliberati al 31 dicembre 2017, nonché quelli riferiti al recupero della remunerazione del capitale calcolata – tenuto conto del tasso di remunerazione (r2018) di cui all’Allegato 1 del d.P.R. n. 158/99 - sulla base dello scostamento ex post tra gli investimenti realizzati nell’anno 2017 e gli investimenti programmati per la medesima
annualità; gli importi per meccanismi di premio/penalità relativi al 2018 già in vigore al 31 dicembre 2017; è consentito il recupero delle partite pregresse nel caso in cui la loro quantificazione abbia già trovato una giustificazione formale da parte dell’Ente Locale competente.
</t>
  </si>
  <si>
    <t xml:space="preserve">comma 15.6 </t>
  </si>
  <si>
    <r>
      <t>COI</t>
    </r>
    <r>
      <rPr>
        <b/>
        <vertAlign val="superscript"/>
        <sz val="11"/>
        <color theme="1"/>
        <rFont val="Arial Narrow"/>
        <family val="2"/>
      </rPr>
      <t>exp</t>
    </r>
    <r>
      <rPr>
        <b/>
        <vertAlign val="subscript"/>
        <sz val="11"/>
        <color theme="1"/>
        <rFont val="Arial Narrow"/>
        <family val="2"/>
      </rPr>
      <t>TV,a</t>
    </r>
  </si>
  <si>
    <r>
      <t xml:space="preserve">La componente </t>
    </r>
    <r>
      <rPr>
        <sz val="12"/>
        <color theme="1"/>
        <rFont val="Arial Narrow"/>
        <family val="2"/>
      </rPr>
      <t>COI</t>
    </r>
    <r>
      <rPr>
        <vertAlign val="superscript"/>
        <sz val="12"/>
        <color theme="1"/>
        <rFont val="Arial Narrow"/>
        <family val="2"/>
      </rPr>
      <t>exp</t>
    </r>
    <r>
      <rPr>
        <vertAlign val="subscript"/>
        <sz val="12"/>
        <color theme="1"/>
        <rFont val="Arial Narrow"/>
        <family val="2"/>
      </rPr>
      <t xml:space="preserve">TV,a </t>
    </r>
    <r>
      <rPr>
        <sz val="11"/>
        <color theme="1"/>
        <rFont val="Arial Narrow"/>
        <family val="2"/>
      </rPr>
      <t xml:space="preserve"> ha natura previsionale ed è destinata alla copertura degli oneri variabili attesi relativi al conseguimento di target di miglioramento dei livelli di qualità e/o alle modifiche del perimetro gestionale. Tra gli oneri di natura previsionale di carattere variabile rientrano quelli associati al possibile incremento della raccolta differenziata, della percentuale di riciclo/riutilizzo, della frequenza della raccolta ovvero dell’eventuale passaggio da raccolta stradale a porta a porta. Tra gli oneri di natura fissa rientrano l’eventuale miglioramento delle prestazioni relative alle attività di spazzamento, lavaggio strade e marciapiedi, nonchè la possibile introduzione di sistemi di tariffazione puntuale con riconoscimento dell’utenza</t>
    </r>
  </si>
  <si>
    <t>comma 7.10 e art. 8</t>
  </si>
  <si>
    <r>
      <t>COI</t>
    </r>
    <r>
      <rPr>
        <b/>
        <vertAlign val="superscript"/>
        <sz val="11"/>
        <color theme="1"/>
        <rFont val="Arial Narrow"/>
        <family val="2"/>
      </rPr>
      <t>exp</t>
    </r>
    <r>
      <rPr>
        <b/>
        <vertAlign val="subscript"/>
        <sz val="11"/>
        <color theme="1"/>
        <rFont val="Arial Narrow"/>
        <family val="2"/>
      </rPr>
      <t>TF,a</t>
    </r>
  </si>
  <si>
    <r>
      <t xml:space="preserve"> La componente COI</t>
    </r>
    <r>
      <rPr>
        <vertAlign val="superscript"/>
        <sz val="11"/>
        <color theme="1"/>
        <rFont val="Arial Narrow"/>
        <family val="2"/>
      </rPr>
      <t>exp</t>
    </r>
    <r>
      <rPr>
        <vertAlign val="subscript"/>
        <sz val="11"/>
        <color theme="1"/>
        <rFont val="Arial Narrow"/>
        <family val="2"/>
      </rPr>
      <t>TF,a</t>
    </r>
    <r>
      <rPr>
        <sz val="11"/>
        <color theme="1"/>
        <rFont val="Arial Narrow"/>
        <family val="2"/>
      </rPr>
      <t xml:space="preserve">  ha natura previsionale ed è destinata alla copertura degli oneri fissi attesi relativi al conseguimento di target di miglioramento dei livelli di qualità e/o alle modifiche del perimetro gestionale. Tra gli oneri di natura fissa rientrano l’eventuale miglioramento delle prestazioni relative alle attività di spazzamento, lavaggio strade e marciapiedi, nonchè la possibile introduzione di sistemi di tariffazione puntuale con riconoscimento dell’utenza</t>
    </r>
  </si>
  <si>
    <r>
      <t>Acc</t>
    </r>
    <r>
      <rPr>
        <b/>
        <vertAlign val="subscript"/>
        <sz val="11"/>
        <color theme="1"/>
        <rFont val="Arial Narrow"/>
        <family val="2"/>
      </rPr>
      <t>a</t>
    </r>
  </si>
  <si>
    <r>
      <rPr>
        <i/>
        <sz val="11"/>
        <color theme="1"/>
        <rFont val="Arial Narrow"/>
        <family val="2"/>
      </rPr>
      <t xml:space="preserve">Accantonamenti ammessi al riconoscimento tariffario  </t>
    </r>
    <r>
      <rPr>
        <sz val="11"/>
        <color theme="1"/>
        <rFont val="Arial Narrow"/>
        <family val="2"/>
      </rPr>
      <t xml:space="preserve">
La valorizzazione della componente Acc</t>
    </r>
    <r>
      <rPr>
        <vertAlign val="subscript"/>
        <sz val="11"/>
        <color theme="1"/>
        <rFont val="Arial Narrow"/>
        <family val="2"/>
      </rPr>
      <t>a</t>
    </r>
    <r>
      <rPr>
        <sz val="11"/>
        <color theme="1"/>
        <rFont val="Arial Narrow"/>
        <family val="2"/>
      </rPr>
      <t xml:space="preserve"> a copertura degli accantonamenti ammessi al riconoscimento tariffario avviene considerando:
• gli accantonamenti effettuati ai fini della copertura dei costi di gestione postoperativa delle discariche autorizzate e dei costi di chiusura, ai sensi della normativa vigente;
• gli accantonamenti relativi ai crediti;
• eventuali ulteriori accantonamenti iscritti a bilancio per la copertura di rischi ed oneri previsti dalla normativa di settore e/o dai contratti di affidamento in essere;
• altri accantonamenti, diversi dagli ammortamenti, non in eccesso rispetto all’applicazione di norme tributarie.
</t>
    </r>
  </si>
  <si>
    <t>art. 14</t>
  </si>
  <si>
    <t>Attività esterne al perimetro</t>
  </si>
  <si>
    <t>Attività esterne al ciclo integrato dei RU sono tutte quelle attività che, anche qualora siano state incluse nella concessione di affidamento del servizio di gestione integrata del ciclo dei rifiuti, ai sensi della normativa vigente, non possono essere incluse nel perimetro sottoposto a regolazione dell’Autorità; a titolo esemplificativo ma non esaustivo, comprendono in particolare:
- raccolta, trasporto e smaltimento amianto da utenze domestiche; tuttavia, ai fini della determinazione dei corrispettivi, laddove già inclusa nella gestione del ciclo integrato dei rifiuti urbani alla data di pubblicazione del presente provvedimento, la micro raccolta dell’amianto da utenze domestiche è da considerarsi tra le attività di gestione dei RU;
- derattizzazione;
- disinfestazione zanzare;
- spazzamento e sgombero della neve;
- cancellazione scritte vandaliche;
- defissione di manifesti abusivi;
- gestione dei servizi igienici pubblici;
- gestione del verde pubblico;
- manutenzione delle fontane.</t>
  </si>
  <si>
    <t>comma 1.1</t>
  </si>
  <si>
    <t>Valore delle immobilizzazioni</t>
  </si>
  <si>
    <t>11.1 Il perimetro delle immobilizzazioni comprende i soli cespiti in esercizio al 31 dicembre dell’anno 2018, acquisiti dall’esterno o realizzati, che non siano stati oggetto di radiazioni o dismissioni, ovvero oggetto di successivi interventi di sostituzione ancorché non radiati e/o dismessi e per i quali il fondo di ammortamento non abbia già coperto il valore lordo degli stessi. Sono incluse le immobilizzazioni in corso risultanti al 31 dicembre dell’anno  (a-2) , al netto dei saldi che risultino invariati da più di 4 anni. Sono altresì escluse le immobilizzazioni non inserite nella linea produttiva o poste in stand-by. 
11.2 La ricostruzione del valore lordo delle immobilizzazioni materiali al 31 dicembre dell’anno 2017 o 2018 è effettuata sulla base del costo storico di acquisizione del cespite al momento della sua prima utilizzazione ovvero al costo di realizzazione dello stesso come risulta dalle fonti contabili obbligatorie.
11.3 Nel caso in cui non sia possibile ricostruire la stratificazione storica di realizzazione del bene, si fa riferimento al primo libro contabile in cui il cespite è riportato.
11.6 Dalla valorizzazione delle immobilizzazioni sono in ogni caso escluse le rivalutazioni economiche e monetarie, le altre poste incrementative non costituenti costo storico originario degli impianti, gli oneri promozionali, le concessioni, ivi inclusi oneri per il rinnovo e la stipula delle medesime, gli avviamenti.
11.7 Per gli anni successivi al 2018 sono altresì esclusi dalla valorizzazione delle immobilizzazioni gli eventuali incrementi patrimoniali corrispondenti agli oneri ed alle commissioni di strutturazione dei progetti di finanziamento.</t>
  </si>
  <si>
    <t>art. 11</t>
  </si>
  <si>
    <r>
      <rPr>
        <i/>
        <sz val="11"/>
        <color theme="1"/>
        <rFont val="Arial Narrow"/>
        <family val="2"/>
      </rPr>
      <t>b</t>
    </r>
    <r>
      <rPr>
        <sz val="11"/>
        <color theme="1"/>
        <rFont val="Arial Narrow"/>
        <family val="2"/>
      </rPr>
      <t xml:space="preserve"> è il fattore di </t>
    </r>
    <r>
      <rPr>
        <i/>
        <sz val="11"/>
        <color theme="1"/>
        <rFont val="Arial Narrow"/>
        <family val="2"/>
      </rPr>
      <t>sharing</t>
    </r>
    <r>
      <rPr>
        <sz val="11"/>
        <color theme="1"/>
        <rFont val="Arial Narrow"/>
        <family val="2"/>
      </rPr>
      <t xml:space="preserve"> dei proventi, che può assumere un valore compreso nell’intervallo [0,3 ,0,6]</t>
    </r>
  </si>
  <si>
    <t>comma 2.2</t>
  </si>
  <si>
    <r>
      <rPr>
        <i/>
        <sz val="11"/>
        <color theme="1"/>
        <rFont val="Arial Narrow"/>
        <family val="2"/>
      </rPr>
      <t>b</t>
    </r>
    <r>
      <rPr>
        <sz val="11"/>
        <color theme="1"/>
        <rFont val="Arial Narrow"/>
        <family val="2"/>
      </rPr>
      <t>(1+</t>
    </r>
    <r>
      <rPr>
        <sz val="11"/>
        <color theme="1"/>
        <rFont val="Symbol"/>
        <family val="1"/>
        <charset val="2"/>
      </rPr>
      <t>w</t>
    </r>
    <r>
      <rPr>
        <sz val="11"/>
        <color theme="1"/>
        <rFont val="Arial Narrow"/>
        <family val="2"/>
      </rPr>
      <t xml:space="preserve">)è il fattore di </t>
    </r>
    <r>
      <rPr>
        <i/>
        <sz val="11"/>
        <color theme="1"/>
        <rFont val="Arial Narrow"/>
        <family val="2"/>
      </rPr>
      <t>sharing</t>
    </r>
    <r>
      <rPr>
        <sz val="11"/>
        <color theme="1"/>
        <rFont val="Arial Narrow"/>
        <family val="2"/>
      </rPr>
      <t xml:space="preserve"> dei proventi derivanti dai corrispettivi riconosciuti dal CONAI, dove ω è determinato dall’Ente territorialmente competente in coerenza con le valutazioni compiute ai fini della determinazione dei parametri </t>
    </r>
    <r>
      <rPr>
        <sz val="11"/>
        <color theme="1"/>
        <rFont val="Symbol"/>
        <family val="1"/>
        <charset val="2"/>
      </rPr>
      <t>g</t>
    </r>
    <r>
      <rPr>
        <sz val="11"/>
        <color theme="1"/>
        <rFont val="Arial Narrow"/>
        <family val="2"/>
      </rPr>
      <t xml:space="preserve">1 e </t>
    </r>
    <r>
      <rPr>
        <sz val="11"/>
        <color theme="1"/>
        <rFont val="Symbol"/>
        <family val="1"/>
        <charset val="2"/>
      </rPr>
      <t>g</t>
    </r>
    <r>
      <rPr>
        <sz val="11"/>
        <color theme="1"/>
        <rFont val="Arial Narrow"/>
        <family val="2"/>
      </rPr>
      <t>2 di cui al comma 16.2; ω può assumere un valore compreso nell’intervallo [0,1 ,0,4];</t>
    </r>
  </si>
  <si>
    <r>
      <t xml:space="preserve">In ciascun anno  a = {2020,2021}, la determinazione dei conguagli relativi alle annualità 2018 e 2019 avviene applicando alla somma delle componenti RCTV e RCTF, determinata secondo quanto previsto dall' Articolo 15, il coefficiente di gradualità (1 + γ), determinato dall’Ente territorialmente competente.
In ciascun anno </t>
    </r>
    <r>
      <rPr>
        <i/>
        <sz val="11"/>
        <color theme="1"/>
        <rFont val="Arial Narrow"/>
        <family val="2"/>
      </rPr>
      <t>a</t>
    </r>
    <r>
      <rPr>
        <sz val="11"/>
        <color theme="1"/>
        <rFont val="Arial Narrow"/>
        <family val="2"/>
      </rPr>
      <t xml:space="preserve"> = {2020,2021}, γ è dato dalla seguente somma:
γ = γ1 + γ2 + γ3</t>
    </r>
  </si>
  <si>
    <t>comma 16.2</t>
  </si>
  <si>
    <t>è quantificato considerando l’efficacia delle attività di preparazione per il riutilizzo e il riciclo</t>
  </si>
  <si>
    <t>è determinato sulla base delle risultanze di indagini di soddisfazione degli utenti del servizio, svolte in modo indipendente, o con riferimento al grado di rispetto della Carta dei servizi</t>
  </si>
  <si>
    <t>r rappresenta il numero di rate per il recupero della componente a conguaglio, determinato dall’Ente territorialmente competente fino a un massimo di 4.</t>
  </si>
  <si>
    <t>è il coefficiente di recupero di produttività, determinato dall’Ente territorialmente competente, nell’ambito dell’intervallo di valori compreso fra 0,1% e 0,5%</t>
  </si>
  <si>
    <t>comma 4.3</t>
  </si>
  <si>
    <t>è il coefficiente per il miglioramento previsto della qualità e delle caratteristiche delle prestazioni erogate agli utenti, che può assumere un valore nei limiti della tabella di cui al comma 4.4</t>
  </si>
  <si>
    <t>comma 4.3 e 4.4</t>
  </si>
  <si>
    <t>è il coefficiente per la valorizzazione di modifiche del perimetro gestionale con riferimento ad aspetti tecnici e/o operativi, che può assumere un valore nei limiti della tabella di cui al comma 4.4.</t>
  </si>
  <si>
    <t>articolo 4</t>
  </si>
  <si>
    <r>
      <t>0,8 ≤TV</t>
    </r>
    <r>
      <rPr>
        <vertAlign val="subscript"/>
        <sz val="11"/>
        <color theme="1"/>
        <rFont val="Arial Narrow"/>
        <family val="2"/>
      </rPr>
      <t>a</t>
    </r>
    <r>
      <rPr>
        <sz val="11"/>
        <color theme="1"/>
        <rFont val="Arial Narrow"/>
        <family val="2"/>
      </rPr>
      <t>/TV</t>
    </r>
    <r>
      <rPr>
        <vertAlign val="subscript"/>
        <sz val="11"/>
        <color theme="1"/>
        <rFont val="Arial Narrow"/>
        <family val="2"/>
      </rPr>
      <t>a-1</t>
    </r>
    <r>
      <rPr>
        <sz val="11"/>
        <color theme="1"/>
        <rFont val="Arial Narrow"/>
        <family val="2"/>
      </rPr>
      <t>≤ 1,2</t>
    </r>
  </si>
  <si>
    <r>
      <t xml:space="preserve">In ciascun anno </t>
    </r>
    <r>
      <rPr>
        <i/>
        <sz val="11"/>
        <color theme="1"/>
        <rFont val="Arial Narrow"/>
        <family val="2"/>
      </rPr>
      <t>a</t>
    </r>
    <r>
      <rPr>
        <sz val="11"/>
        <color theme="1"/>
        <rFont val="Arial Narrow"/>
        <family val="2"/>
      </rPr>
      <t xml:space="preserve"> = {2020,2021} è applicata la condizione qui definita.
Per l’anno 2020, ai fini della verifica della condizione di cui al comma 3.1, si considerano le entrate tariffarie 2019, di cui al comma 15.3.
Nel caso in cui il rapporto di cui al comma 3.1:
a) sia superiore a 1,2, la quota di ricavi eccedente il vincolo è ricompresa nel totale delle entrate relative alle componenti di costo fisso di cui al comma 2.3;
b) sia inferiore a 0,8, la quota di ricavi necessaria per il rispetto del vincolo è trasferita dal totale delle entrate relative alla componente di costo fisso di cui al comma 2.3.
</t>
    </r>
  </si>
  <si>
    <t>articolo 3</t>
  </si>
  <si>
    <t xml:space="preserve">Limite alla crescita annuale delle entrate tariffarie </t>
  </si>
  <si>
    <r>
      <t>COV</t>
    </r>
    <r>
      <rPr>
        <b/>
        <vertAlign val="superscript"/>
        <sz val="11"/>
        <color theme="1"/>
        <rFont val="Arial Narrow"/>
        <family val="2"/>
      </rPr>
      <t>exp</t>
    </r>
    <r>
      <rPr>
        <b/>
        <vertAlign val="subscript"/>
        <sz val="11"/>
        <color theme="1"/>
        <rFont val="Arial Narrow"/>
        <family val="2"/>
      </rPr>
      <t>TV,2020</t>
    </r>
  </si>
  <si>
    <r>
      <t xml:space="preserve">La componente </t>
    </r>
    <r>
      <rPr>
        <sz val="12"/>
        <color theme="1"/>
        <rFont val="Arial Narrow"/>
        <family val="2"/>
      </rPr>
      <t>COV</t>
    </r>
    <r>
      <rPr>
        <vertAlign val="superscript"/>
        <sz val="12"/>
        <color theme="1"/>
        <rFont val="Arial Narrow"/>
        <family val="2"/>
      </rPr>
      <t>exp</t>
    </r>
    <r>
      <rPr>
        <vertAlign val="subscript"/>
        <sz val="12"/>
        <color theme="1"/>
        <rFont val="Arial Narrow"/>
        <family val="2"/>
      </rPr>
      <t xml:space="preserve">TV,2020 </t>
    </r>
    <r>
      <rPr>
        <sz val="11"/>
        <color theme="1"/>
        <rFont val="Arial Narrow"/>
        <family val="2"/>
      </rPr>
      <t xml:space="preserve"> è la componente aggiuntiva di costo variabile, avente natura previsionale, destinata alla copertura degli scostamenti attesi rispetto ai valori di costo effettivi dell’anno di riferimento. Tale componente può assumere valore positivo o negativo.
La componente di costo variabile è destinata alla copertura degli scostamenti attesi rispetto ai valori di costo effettivi dell’anno di riferimento per il conseguimento degli obiettivi specifici riferiti alla gestione dell’emergenza da COVID-19. Nella componente di costo possono essere ricompresi, oltre agli scostamenti delle componenti di costo variabile  – in particolare la variazione della componente CRT causata dalla maggiore frequenza dei passaggi per la raccolta indifferenziata, della componente CRD causata da una minore frequenza dei passaggi per la raccolta differenziata e delle componenti CTS e CTR dovute alla variazione dei quantitativi inviati a smaltimento o trattamento e/o dei corrispettivi per l’accesso alle infrastrutture dedicate – i costi sorgenti nell’anno 2020 riconducibili all’emergenza da COVID-19 quali, ad esempio, quelli derivanti dall’attivazione di servizi di raccolta (anche domiciliare) dei rifiuti urbani rivolta ai soggetti positivi al tampone e/o in quarantena obbligatoria. </t>
    </r>
  </si>
  <si>
    <t>comma 2.2bis, 7.1bis e art. 7bis</t>
  </si>
  <si>
    <r>
      <t>COV</t>
    </r>
    <r>
      <rPr>
        <b/>
        <vertAlign val="superscript"/>
        <sz val="11"/>
        <color theme="1"/>
        <rFont val="Arial Narrow"/>
        <family val="2"/>
      </rPr>
      <t>exp</t>
    </r>
    <r>
      <rPr>
        <b/>
        <vertAlign val="subscript"/>
        <sz val="11"/>
        <color theme="1"/>
        <rFont val="Arial Narrow"/>
        <family val="2"/>
      </rPr>
      <t>TF,2020</t>
    </r>
  </si>
  <si>
    <r>
      <t xml:space="preserve">La componente </t>
    </r>
    <r>
      <rPr>
        <sz val="12"/>
        <color theme="1"/>
        <rFont val="Arial Narrow"/>
        <family val="2"/>
      </rPr>
      <t>COV</t>
    </r>
    <r>
      <rPr>
        <vertAlign val="superscript"/>
        <sz val="12"/>
        <color theme="1"/>
        <rFont val="Arial Narrow"/>
        <family val="2"/>
      </rPr>
      <t>exp</t>
    </r>
    <r>
      <rPr>
        <vertAlign val="subscript"/>
        <sz val="12"/>
        <color theme="1"/>
        <rFont val="Arial Narrow"/>
        <family val="2"/>
      </rPr>
      <t xml:space="preserve">TF,2020 </t>
    </r>
    <r>
      <rPr>
        <sz val="11"/>
        <color theme="1"/>
        <rFont val="Arial Narrow"/>
        <family val="2"/>
      </rPr>
      <t xml:space="preserve"> è la componente aggiuntiva di costo fisso, avente natura previsionale, destinata alla copertura degli scostamenti attesi rispetto ai valori di costo effettivi dell’anno di riferimento. Tale componente può assumere valore positivo o negativo.
La componente è destinata alla copertura degli scostamenti attesi rispetto ai valori di costo effettivi dell’anno di riferimento per il conseguimento degli obiettivi specifici riferiti alla gestione all’emergenza da COVID-19. Nella componente di costo possono essere ricompresi, oltre agli scostamenti delle componenti di costo fisso  – in particolare le variazioni della componente CSL a copertura dei costi di spazzamento e lavaggio e le variazioni della componente CC a copertura dei costi comuni – i costi sorgenti nell’anno 2020 riconducibili all’emergenza da COVID-19 quali, ad esempio, i costi sostenuti per le attività di igienizzazione/sanificazione e lavaggio di marciapiedi, strade e aree ad alta frequentazione, connesse all’emergenza da COVID-19.</t>
    </r>
  </si>
  <si>
    <t>comma 2.3bis, 7.1bis e art. 7bis</t>
  </si>
  <si>
    <r>
      <t>COS</t>
    </r>
    <r>
      <rPr>
        <b/>
        <vertAlign val="superscript"/>
        <sz val="11"/>
        <color theme="1"/>
        <rFont val="Arial Narrow"/>
        <family val="2"/>
      </rPr>
      <t>exp</t>
    </r>
    <r>
      <rPr>
        <b/>
        <vertAlign val="subscript"/>
        <sz val="11"/>
        <color theme="1"/>
        <rFont val="Arial Narrow"/>
        <family val="2"/>
      </rPr>
      <t>TV,2020</t>
    </r>
  </si>
  <si>
    <r>
      <t xml:space="preserve">La componente </t>
    </r>
    <r>
      <rPr>
        <sz val="12"/>
        <color theme="1"/>
        <rFont val="Arial Narrow"/>
        <family val="2"/>
      </rPr>
      <t>COS</t>
    </r>
    <r>
      <rPr>
        <vertAlign val="superscript"/>
        <sz val="12"/>
        <color theme="1"/>
        <rFont val="Arial Narrow"/>
        <family val="2"/>
      </rPr>
      <t>exp</t>
    </r>
    <r>
      <rPr>
        <vertAlign val="subscript"/>
        <sz val="12"/>
        <color theme="1"/>
        <rFont val="Arial Narrow"/>
        <family val="2"/>
      </rPr>
      <t xml:space="preserve">TV,2020 </t>
    </r>
    <r>
      <rPr>
        <sz val="11"/>
        <color theme="1"/>
        <rFont val="Arial Narrow"/>
        <family val="2"/>
      </rPr>
      <t xml:space="preserve"> è la componente aggiuntiva di natura previsionale destinata alla copertura degli oneri variabili derivanti dall’attuazione delle misure di tutela a favore delle utenze domestiche economicamente disagiate come individuate dall’Articolo 3 della deliberazione 158/2020/R/RIF.
</t>
    </r>
  </si>
  <si>
    <t>comma 2.2bis, 7.1bis e art. 7ter</t>
  </si>
  <si>
    <r>
      <t>RCND</t>
    </r>
    <r>
      <rPr>
        <b/>
        <vertAlign val="subscript"/>
        <sz val="11"/>
        <color theme="1"/>
        <rFont val="Arial Narrow"/>
        <family val="2"/>
      </rPr>
      <t>TV</t>
    </r>
  </si>
  <si>
    <t>comma 2.2bis e art. 7ter</t>
  </si>
  <si>
    <r>
      <t xml:space="preserve">Per l’anno 2020, ai fini della determinazione del parametro </t>
    </r>
    <r>
      <rPr>
        <sz val="11"/>
        <color theme="1"/>
        <rFont val="Symbol"/>
        <family val="1"/>
        <charset val="2"/>
      </rPr>
      <t>r</t>
    </r>
    <r>
      <rPr>
        <sz val="11"/>
        <color theme="1"/>
        <rFont val="Arial Narrow"/>
        <family val="2"/>
      </rPr>
      <t xml:space="preserve"> l’Ente territorialmente competente può considerare il coefficiente C19 che tiene conto dei costi derivanti da eventi imprevedibili ed eccezionali e in particolare della previsione sui costi che verranno sostenuti dal gestore al fine di garantire la continuità e il mantenimento dei livelli di qualità del servizio a seguito dell’emergenza da COVID-19; tale coefficiente può essere valorizzato nell’intervallo di valori compreso fra 0% e 3% e può essere valorizzato laddove si sia reso necessario, anche in ottemperanza alle raccomandazioni dell’Istituto Superiore di Sanità o alla normativa vigente, ovvero per finalità sociali:
• adottare prassi e raccomandazioni sanitarie specifiche orientate a garantire la massima tutela della salute, della sicurezza e della protezione dal rischio contagio del personale, sia operativo che amministrativo;
• prevedere variazioni delle modalità di gestione del rifiuto in ottemperanza alle indicazioni dell’Istituto Superiore di Sanità, con particolare riferimento allo smaltimento della frazione indifferenziata in condizioni di sicurezza;
• aumentare la frequenza dei ritiri della raccolta della frazione indifferenziata dei rifiuti, rimodulando eventualmente la fornitura di altri servizi non essenziali;
• attivare servizi di raccolta dei rifiuti rivolti ai soggetti positivi al tampone o in quarantena obbligatoria;
• effettuare attività di igienizzazione/sanificazione e lavaggio di marciapiedi, strade e aree ad alta frequentazione, qualora effettuati in esito a prescrizioni emanate da parte delle autorità locali competenti;
• attivare forme di agevolazione a favore delle utenze domestiche economicamente disagiate.
</t>
    </r>
  </si>
  <si>
    <t>comma 4.3bis</t>
  </si>
  <si>
    <t>è valorizzato tenendo conto della valutazione del rispetto degli obiettivi di raccolta differenziata da raggiungere</t>
  </si>
  <si>
    <r>
      <rPr>
        <sz val="11"/>
        <color theme="1"/>
        <rFont val="Symbol"/>
        <family val="1"/>
        <charset val="2"/>
      </rPr>
      <t>r</t>
    </r>
    <r>
      <rPr>
        <sz val="11"/>
        <color theme="1"/>
        <rFont val="Arial Narrow"/>
        <family val="2"/>
      </rPr>
      <t xml:space="preserve"> è il parametro per la determinazione del limite alla crescita delle tariffe, di cui comma 4.3.</t>
    </r>
  </si>
  <si>
    <t>agg. 24-11-2020</t>
  </si>
  <si>
    <t xml:space="preserve">       PEF 2021</t>
  </si>
  <si>
    <r>
      <t>Appendice 1 al MTR (versione integrata con la deliberazione 493/2020/R/</t>
    </r>
    <r>
      <rPr>
        <b/>
        <sz val="11"/>
        <rFont val="Calibri"/>
        <family val="2"/>
        <scheme val="minor"/>
      </rPr>
      <t>RIF</t>
    </r>
    <r>
      <rPr>
        <b/>
        <sz val="14"/>
        <rFont val="Calibri"/>
        <family val="2"/>
        <scheme val="minor"/>
      </rPr>
      <t>)</t>
    </r>
  </si>
  <si>
    <t xml:space="preserve">Ambito tariffario di </t>
  </si>
  <si>
    <t>Input gestori (G) 
Input Ente territorialmente competente (E)
Dato calcolato (C)
Dato MTR (MTR)</t>
  </si>
  <si>
    <t>Costi del/i gestore/i diverso/i dal Comune</t>
  </si>
  <si>
    <t>Costi 
del/i Comune/i</t>
  </si>
  <si>
    <t>Ciclo integrato
 RU (TOT PEF)</t>
  </si>
  <si>
    <r>
      <t xml:space="preserve">Costi dell’attività di raccolta e trasporto dei rifiuti urbani indifferenziati   </t>
    </r>
    <r>
      <rPr>
        <b/>
        <i/>
        <sz val="12"/>
        <color theme="1"/>
        <rFont val="Calibri"/>
        <family val="2"/>
        <scheme val="minor"/>
      </rPr>
      <t>CRT</t>
    </r>
  </si>
  <si>
    <r>
      <t xml:space="preserve">Costi dell’attività di trattamento e smaltimento dei rifiuti urbani   </t>
    </r>
    <r>
      <rPr>
        <b/>
        <i/>
        <sz val="12"/>
        <color theme="1"/>
        <rFont val="Calibri"/>
        <family val="2"/>
        <scheme val="minor"/>
      </rPr>
      <t>CTS</t>
    </r>
  </si>
  <si>
    <r>
      <t xml:space="preserve">Costi dell’attività di trattamento e recupero dei rifiuti urbani   </t>
    </r>
    <r>
      <rPr>
        <b/>
        <i/>
        <sz val="12"/>
        <color theme="1"/>
        <rFont val="Calibri"/>
        <family val="2"/>
        <scheme val="minor"/>
      </rPr>
      <t>CTR</t>
    </r>
  </si>
  <si>
    <r>
      <t xml:space="preserve">Costi dell’attività di raccolta e trasporto delle frazioni differenziate   </t>
    </r>
    <r>
      <rPr>
        <b/>
        <i/>
        <sz val="12"/>
        <color theme="1"/>
        <rFont val="Calibri"/>
        <family val="2"/>
        <scheme val="minor"/>
      </rPr>
      <t>CRD</t>
    </r>
  </si>
  <si>
    <r>
      <t xml:space="preserve">Costi operativi incentivanti variabili di cui all'articolo 8 del MTR   </t>
    </r>
    <r>
      <rPr>
        <b/>
        <i/>
        <sz val="12"/>
        <color theme="1"/>
        <rFont val="Calibri"/>
        <family val="2"/>
        <scheme val="minor"/>
      </rPr>
      <t>COI</t>
    </r>
    <r>
      <rPr>
        <b/>
        <i/>
        <vertAlign val="superscript"/>
        <sz val="12"/>
        <color theme="1"/>
        <rFont val="Calibri"/>
        <family val="2"/>
        <scheme val="minor"/>
      </rPr>
      <t>EXP</t>
    </r>
    <r>
      <rPr>
        <b/>
        <i/>
        <vertAlign val="subscript"/>
        <sz val="12"/>
        <color theme="1"/>
        <rFont val="Calibri"/>
        <family val="2"/>
        <scheme val="minor"/>
      </rPr>
      <t>TV</t>
    </r>
  </si>
  <si>
    <r>
      <t xml:space="preserve">Proventi della vendita di materiale ed energia derivante da rifiuti   </t>
    </r>
    <r>
      <rPr>
        <b/>
        <i/>
        <sz val="12"/>
        <color theme="1"/>
        <rFont val="Calibri"/>
        <family val="2"/>
        <scheme val="minor"/>
      </rPr>
      <t>AR</t>
    </r>
  </si>
  <si>
    <r>
      <t xml:space="preserve">Fattore di Sharing   </t>
    </r>
    <r>
      <rPr>
        <b/>
        <i/>
        <sz val="12"/>
        <color theme="1"/>
        <rFont val="Calibri"/>
        <family val="2"/>
        <scheme val="minor"/>
      </rPr>
      <t>b</t>
    </r>
  </si>
  <si>
    <r>
      <t xml:space="preserve">Proventi della vendita di materiale ed energia derivante da rifiuti dopo sharing   </t>
    </r>
    <r>
      <rPr>
        <b/>
        <i/>
        <sz val="12"/>
        <color theme="1"/>
        <rFont val="Calibri"/>
        <family val="2"/>
        <scheme val="minor"/>
      </rPr>
      <t>b(AR)</t>
    </r>
  </si>
  <si>
    <r>
      <t xml:space="preserve">Ricavi derivanti dai corrispettivi riconosciuti dal CONAI   </t>
    </r>
    <r>
      <rPr>
        <b/>
        <i/>
        <sz val="12"/>
        <color theme="1"/>
        <rFont val="Calibri"/>
        <family val="2"/>
        <scheme val="minor"/>
      </rPr>
      <t>AR</t>
    </r>
    <r>
      <rPr>
        <b/>
        <i/>
        <vertAlign val="subscript"/>
        <sz val="12"/>
        <color theme="1"/>
        <rFont val="Calibri"/>
        <family val="2"/>
        <scheme val="minor"/>
      </rPr>
      <t>CONAI</t>
    </r>
  </si>
  <si>
    <r>
      <t xml:space="preserve">Fattore di Sharing    </t>
    </r>
    <r>
      <rPr>
        <b/>
        <i/>
        <sz val="12"/>
        <color theme="1"/>
        <rFont val="Calibri"/>
        <family val="2"/>
        <scheme val="minor"/>
      </rPr>
      <t>b(1+ω)</t>
    </r>
  </si>
  <si>
    <r>
      <t xml:space="preserve">Ricavi derivanti dai corrispettivi riconosciuti dal CONAI dopo sharing   </t>
    </r>
    <r>
      <rPr>
        <b/>
        <i/>
        <sz val="12"/>
        <color theme="1"/>
        <rFont val="Calibri"/>
        <family val="2"/>
        <scheme val="minor"/>
      </rPr>
      <t>b(1+ω)AR</t>
    </r>
    <r>
      <rPr>
        <b/>
        <i/>
        <vertAlign val="subscript"/>
        <sz val="12"/>
        <color theme="1"/>
        <rFont val="Calibri"/>
        <family val="2"/>
        <scheme val="minor"/>
      </rPr>
      <t>CONAI</t>
    </r>
  </si>
  <si>
    <r>
      <t>Componente a conguaglio relativa ai costi variabili</t>
    </r>
    <r>
      <rPr>
        <b/>
        <sz val="12"/>
        <color theme="1"/>
        <rFont val="Calibri"/>
        <family val="2"/>
        <scheme val="minor"/>
      </rPr>
      <t xml:space="preserve"> </t>
    </r>
    <r>
      <rPr>
        <sz val="12"/>
        <color theme="1"/>
        <rFont val="Calibri"/>
        <family val="2"/>
        <scheme val="minor"/>
      </rPr>
      <t xml:space="preserve">  </t>
    </r>
    <r>
      <rPr>
        <b/>
        <i/>
        <sz val="12"/>
        <color theme="1"/>
        <rFont val="Calibri"/>
        <family val="2"/>
        <scheme val="minor"/>
      </rPr>
      <t>RC</t>
    </r>
    <r>
      <rPr>
        <b/>
        <i/>
        <vertAlign val="subscript"/>
        <sz val="12"/>
        <color theme="1"/>
        <rFont val="Calibri"/>
        <family val="2"/>
        <scheme val="minor"/>
      </rPr>
      <t>TV</t>
    </r>
  </si>
  <si>
    <t>E-G</t>
  </si>
  <si>
    <r>
      <t xml:space="preserve">Coefficiente di gradualità   </t>
    </r>
    <r>
      <rPr>
        <b/>
        <i/>
        <sz val="12"/>
        <color theme="1"/>
        <rFont val="Calibri"/>
        <family val="2"/>
        <scheme val="minor"/>
      </rPr>
      <t>(1+ɣ)</t>
    </r>
  </si>
  <si>
    <r>
      <t xml:space="preserve">Numero di rate  </t>
    </r>
    <r>
      <rPr>
        <b/>
        <sz val="12"/>
        <color theme="1"/>
        <rFont val="Calibri"/>
        <family val="2"/>
        <scheme val="minor"/>
      </rPr>
      <t xml:space="preserve"> </t>
    </r>
    <r>
      <rPr>
        <b/>
        <i/>
        <sz val="12"/>
        <color theme="1"/>
        <rFont val="Calibri"/>
        <family val="2"/>
        <scheme val="minor"/>
      </rPr>
      <t>r</t>
    </r>
  </si>
  <si>
    <r>
      <rPr>
        <sz val="12"/>
        <color theme="1"/>
        <rFont val="Calibri"/>
        <family val="2"/>
        <scheme val="minor"/>
      </rPr>
      <t>Componente a conguaglio relativa ai costi variabili</t>
    </r>
    <r>
      <rPr>
        <b/>
        <i/>
        <sz val="12"/>
        <color theme="1"/>
        <rFont val="Calibri"/>
        <family val="2"/>
        <scheme val="minor"/>
      </rPr>
      <t xml:space="preserve"> </t>
    </r>
    <r>
      <rPr>
        <sz val="12"/>
        <rFont val="Calibri"/>
        <family val="2"/>
        <scheme val="minor"/>
      </rPr>
      <t>riconosciuta</t>
    </r>
    <r>
      <rPr>
        <i/>
        <sz val="12"/>
        <color theme="1"/>
        <rFont val="Calibri"/>
        <family val="2"/>
        <scheme val="minor"/>
      </rPr>
      <t xml:space="preserve">  </t>
    </r>
    <r>
      <rPr>
        <b/>
        <i/>
        <sz val="12"/>
        <color theme="1"/>
        <rFont val="Calibri"/>
        <family val="2"/>
        <scheme val="minor"/>
      </rPr>
      <t>(1+ɣ)RC</t>
    </r>
    <r>
      <rPr>
        <b/>
        <i/>
        <vertAlign val="subscript"/>
        <sz val="12"/>
        <color theme="1"/>
        <rFont val="Calibri"/>
        <family val="2"/>
        <scheme val="minor"/>
      </rPr>
      <t>TV</t>
    </r>
    <r>
      <rPr>
        <b/>
        <i/>
        <sz val="12"/>
        <color theme="1"/>
        <rFont val="Calibri"/>
        <family val="2"/>
        <scheme val="minor"/>
      </rPr>
      <t>/r</t>
    </r>
  </si>
  <si>
    <r>
      <rPr>
        <b/>
        <i/>
        <sz val="12"/>
        <color theme="1"/>
        <rFont val="Calibri"/>
        <family val="2"/>
        <scheme val="minor"/>
      </rPr>
      <t>∑TV</t>
    </r>
    <r>
      <rPr>
        <b/>
        <i/>
        <vertAlign val="subscript"/>
        <sz val="12"/>
        <color theme="1"/>
        <rFont val="Calibri"/>
        <family val="2"/>
        <scheme val="minor"/>
      </rPr>
      <t>a</t>
    </r>
    <r>
      <rPr>
        <b/>
        <sz val="12"/>
        <color theme="1"/>
        <rFont val="Calibri"/>
        <family val="2"/>
        <scheme val="minor"/>
      </rPr>
      <t xml:space="preserve"> totale delle entrate tariffarie relative alle componenti di costo variabile </t>
    </r>
  </si>
  <si>
    <r>
      <t xml:space="preserve">Costi dell’attività di spazzamento e di lavaggio   </t>
    </r>
    <r>
      <rPr>
        <b/>
        <i/>
        <sz val="12"/>
        <color theme="1"/>
        <rFont val="Calibri"/>
        <family val="2"/>
        <scheme val="minor"/>
      </rPr>
      <t>CSL</t>
    </r>
  </si>
  <si>
    <r>
      <t xml:space="preserve">                    Costi per l’attività di gestione delle tariffe e dei rapporti con gli utenti   </t>
    </r>
    <r>
      <rPr>
        <b/>
        <i/>
        <sz val="12"/>
        <color theme="1"/>
        <rFont val="Calibri"/>
        <family val="2"/>
        <scheme val="minor"/>
      </rPr>
      <t>CARC</t>
    </r>
  </si>
  <si>
    <r>
      <t xml:space="preserve">                    Costi generali di gestione   </t>
    </r>
    <r>
      <rPr>
        <b/>
        <i/>
        <sz val="12"/>
        <color theme="1"/>
        <rFont val="Calibri"/>
        <family val="2"/>
        <scheme val="minor"/>
      </rPr>
      <t>CGG</t>
    </r>
  </si>
  <si>
    <r>
      <t xml:space="preserve">                    Costi relativi alla quota di crediti inesigibili    </t>
    </r>
    <r>
      <rPr>
        <b/>
        <i/>
        <sz val="12"/>
        <color theme="1"/>
        <rFont val="Calibri"/>
        <family val="2"/>
        <scheme val="minor"/>
      </rPr>
      <t>CCD</t>
    </r>
  </si>
  <si>
    <r>
      <t xml:space="preserve">                    Altri costi   </t>
    </r>
    <r>
      <rPr>
        <b/>
        <i/>
        <sz val="12"/>
        <color theme="1"/>
        <rFont val="Calibri"/>
        <family val="2"/>
        <scheme val="minor"/>
      </rPr>
      <t>CO</t>
    </r>
    <r>
      <rPr>
        <b/>
        <i/>
        <vertAlign val="subscript"/>
        <sz val="12"/>
        <color theme="1"/>
        <rFont val="Calibri"/>
        <family val="2"/>
        <scheme val="minor"/>
      </rPr>
      <t>AL</t>
    </r>
  </si>
  <si>
    <r>
      <t xml:space="preserve">Costi comuni   </t>
    </r>
    <r>
      <rPr>
        <b/>
        <i/>
        <sz val="12"/>
        <color theme="1"/>
        <rFont val="Calibri"/>
        <family val="2"/>
        <scheme val="minor"/>
      </rPr>
      <t>CC</t>
    </r>
  </si>
  <si>
    <r>
      <t xml:space="preserve">                  Ammortamenti   </t>
    </r>
    <r>
      <rPr>
        <b/>
        <i/>
        <sz val="12"/>
        <color theme="1"/>
        <rFont val="Calibri"/>
        <family val="2"/>
        <scheme val="minor"/>
      </rPr>
      <t>Amm</t>
    </r>
  </si>
  <si>
    <r>
      <t xml:space="preserve">                  Accantonamenti   </t>
    </r>
    <r>
      <rPr>
        <b/>
        <i/>
        <sz val="12"/>
        <color theme="1"/>
        <rFont val="Calibri"/>
        <family val="2"/>
        <scheme val="minor"/>
      </rPr>
      <t>Acc</t>
    </r>
  </si>
  <si>
    <r>
      <t xml:space="preserve">                Remunerazione del capitale investito netto  </t>
    </r>
    <r>
      <rPr>
        <b/>
        <sz val="12"/>
        <color theme="1"/>
        <rFont val="Calibri"/>
        <family val="2"/>
        <scheme val="minor"/>
      </rPr>
      <t xml:space="preserve"> </t>
    </r>
    <r>
      <rPr>
        <b/>
        <i/>
        <sz val="12"/>
        <color theme="1"/>
        <rFont val="Calibri"/>
        <family val="2"/>
        <scheme val="minor"/>
      </rPr>
      <t>R</t>
    </r>
  </si>
  <si>
    <r>
      <t xml:space="preserve">               Remunerazione delle immobilizzazioni in corso   </t>
    </r>
    <r>
      <rPr>
        <b/>
        <i/>
        <sz val="12"/>
        <color theme="1"/>
        <rFont val="Calibri"/>
        <family val="2"/>
        <scheme val="minor"/>
      </rPr>
      <t>R</t>
    </r>
    <r>
      <rPr>
        <b/>
        <i/>
        <vertAlign val="subscript"/>
        <sz val="12"/>
        <color theme="1"/>
        <rFont val="Calibri"/>
        <family val="2"/>
        <scheme val="minor"/>
      </rPr>
      <t>LIC</t>
    </r>
  </si>
  <si>
    <r>
      <t xml:space="preserve">Costi d'uso del capitale </t>
    </r>
    <r>
      <rPr>
        <b/>
        <sz val="12"/>
        <color theme="1"/>
        <rFont val="Calibri"/>
        <family val="2"/>
        <scheme val="minor"/>
      </rPr>
      <t xml:space="preserve">  </t>
    </r>
    <r>
      <rPr>
        <b/>
        <i/>
        <sz val="12"/>
        <color theme="1"/>
        <rFont val="Calibri"/>
        <family val="2"/>
        <scheme val="minor"/>
      </rPr>
      <t>CK</t>
    </r>
    <r>
      <rPr>
        <b/>
        <sz val="12"/>
        <color theme="1"/>
        <rFont val="Calibri"/>
        <family val="2"/>
        <scheme val="minor"/>
      </rPr>
      <t xml:space="preserve"> </t>
    </r>
  </si>
  <si>
    <r>
      <t xml:space="preserve">Costi operativi incentivanti fissi di cui all'articolo 8 del MTR   </t>
    </r>
    <r>
      <rPr>
        <b/>
        <i/>
        <sz val="12"/>
        <color theme="1"/>
        <rFont val="Calibri"/>
        <family val="2"/>
        <scheme val="minor"/>
      </rPr>
      <t>COI</t>
    </r>
    <r>
      <rPr>
        <b/>
        <i/>
        <vertAlign val="superscript"/>
        <sz val="12"/>
        <color theme="1"/>
        <rFont val="Calibri"/>
        <family val="2"/>
        <scheme val="minor"/>
      </rPr>
      <t>EXP</t>
    </r>
    <r>
      <rPr>
        <b/>
        <i/>
        <vertAlign val="subscript"/>
        <sz val="12"/>
        <color theme="1"/>
        <rFont val="Calibri"/>
        <family val="2"/>
        <scheme val="minor"/>
      </rPr>
      <t>TF</t>
    </r>
  </si>
  <si>
    <r>
      <t xml:space="preserve">Componente a conguaglio relativa ai costi fissi   </t>
    </r>
    <r>
      <rPr>
        <b/>
        <i/>
        <sz val="12"/>
        <color theme="1"/>
        <rFont val="Calibri"/>
        <family val="2"/>
        <scheme val="minor"/>
      </rPr>
      <t>RC</t>
    </r>
    <r>
      <rPr>
        <b/>
        <i/>
        <vertAlign val="subscript"/>
        <sz val="12"/>
        <color theme="1"/>
        <rFont val="Calibri"/>
        <family val="2"/>
        <scheme val="minor"/>
      </rPr>
      <t>TF</t>
    </r>
  </si>
  <si>
    <r>
      <t xml:space="preserve">Coefficiente di gradualità  </t>
    </r>
    <r>
      <rPr>
        <b/>
        <sz val="12"/>
        <color theme="1"/>
        <rFont val="Calibri"/>
        <family val="2"/>
        <scheme val="minor"/>
      </rPr>
      <t xml:space="preserve"> </t>
    </r>
    <r>
      <rPr>
        <b/>
        <i/>
        <sz val="12"/>
        <color theme="1"/>
        <rFont val="Calibri"/>
        <family val="2"/>
        <scheme val="minor"/>
      </rPr>
      <t>(1+</t>
    </r>
    <r>
      <rPr>
        <b/>
        <i/>
        <sz val="12"/>
        <color theme="1"/>
        <rFont val="Calibri"/>
        <family val="2"/>
      </rPr>
      <t>ɣ</t>
    </r>
    <r>
      <rPr>
        <b/>
        <i/>
        <sz val="12"/>
        <color theme="1"/>
        <rFont val="Calibri"/>
        <family val="2"/>
        <scheme val="minor"/>
      </rPr>
      <t>)</t>
    </r>
  </si>
  <si>
    <r>
      <t xml:space="preserve">Numero di rate   </t>
    </r>
    <r>
      <rPr>
        <b/>
        <i/>
        <sz val="12"/>
        <color theme="1"/>
        <rFont val="Calibri"/>
        <family val="2"/>
        <scheme val="minor"/>
      </rPr>
      <t>r</t>
    </r>
  </si>
  <si>
    <r>
      <t xml:space="preserve">Componente a conguaglio relativa ai costi fissi </t>
    </r>
    <r>
      <rPr>
        <sz val="12"/>
        <rFont val="Calibri"/>
        <family val="2"/>
        <scheme val="minor"/>
      </rPr>
      <t>riconosciuta</t>
    </r>
    <r>
      <rPr>
        <sz val="12"/>
        <color theme="1"/>
        <rFont val="Calibri"/>
        <family val="2"/>
        <scheme val="minor"/>
      </rPr>
      <t xml:space="preserve">  </t>
    </r>
    <r>
      <rPr>
        <b/>
        <i/>
        <sz val="12"/>
        <color theme="1"/>
        <rFont val="Calibri"/>
        <family val="2"/>
        <scheme val="minor"/>
      </rPr>
      <t>(1+ɣ)RC</t>
    </r>
    <r>
      <rPr>
        <b/>
        <i/>
        <vertAlign val="subscript"/>
        <sz val="12"/>
        <color theme="1"/>
        <rFont val="Calibri"/>
        <family val="2"/>
        <scheme val="minor"/>
      </rPr>
      <t>TF</t>
    </r>
    <r>
      <rPr>
        <b/>
        <i/>
        <sz val="12"/>
        <color theme="1"/>
        <rFont val="Calibri"/>
        <family val="2"/>
        <scheme val="minor"/>
      </rPr>
      <t>/r</t>
    </r>
  </si>
  <si>
    <r>
      <rPr>
        <b/>
        <i/>
        <sz val="12"/>
        <color theme="1"/>
        <rFont val="Calibri"/>
        <family val="2"/>
        <scheme val="minor"/>
      </rPr>
      <t>∑TF</t>
    </r>
    <r>
      <rPr>
        <b/>
        <i/>
        <vertAlign val="subscript"/>
        <sz val="12"/>
        <color theme="1"/>
        <rFont val="Calibri"/>
        <family val="2"/>
        <scheme val="minor"/>
      </rPr>
      <t>a</t>
    </r>
    <r>
      <rPr>
        <b/>
        <i/>
        <sz val="12"/>
        <color theme="1"/>
        <rFont val="Calibri"/>
        <family val="2"/>
        <scheme val="minor"/>
      </rPr>
      <t xml:space="preserve"> </t>
    </r>
    <r>
      <rPr>
        <b/>
        <sz val="12"/>
        <color theme="1"/>
        <rFont val="Calibri"/>
        <family val="2"/>
        <scheme val="minor"/>
      </rPr>
      <t>totale delle entrate tariffarie relative alle componenti di costo fisse</t>
    </r>
  </si>
  <si>
    <r>
      <t>Detrazioni di cui al comma 4.5 della Deliberazione 443/2019/R/</t>
    </r>
    <r>
      <rPr>
        <sz val="9"/>
        <color theme="1"/>
        <rFont val="Calibri"/>
        <family val="2"/>
        <scheme val="minor"/>
      </rPr>
      <t>RIF</t>
    </r>
  </si>
  <si>
    <r>
      <rPr>
        <b/>
        <i/>
        <sz val="12"/>
        <color theme="1"/>
        <rFont val="Calibri"/>
        <family val="2"/>
        <scheme val="minor"/>
      </rPr>
      <t>∑T</t>
    </r>
    <r>
      <rPr>
        <b/>
        <i/>
        <vertAlign val="subscript"/>
        <sz val="12"/>
        <color theme="1"/>
        <rFont val="Calibri"/>
        <family val="2"/>
        <scheme val="minor"/>
      </rPr>
      <t>a</t>
    </r>
    <r>
      <rPr>
        <b/>
        <i/>
        <sz val="12"/>
        <color theme="1"/>
        <rFont val="Calibri"/>
        <family val="2"/>
        <scheme val="minor"/>
      </rPr>
      <t>= ∑TV</t>
    </r>
    <r>
      <rPr>
        <b/>
        <i/>
        <vertAlign val="subscript"/>
        <sz val="12"/>
        <color theme="1"/>
        <rFont val="Calibri"/>
        <family val="2"/>
        <scheme val="minor"/>
      </rPr>
      <t>a</t>
    </r>
    <r>
      <rPr>
        <b/>
        <i/>
        <sz val="12"/>
        <color theme="1"/>
        <rFont val="Calibri"/>
        <family val="2"/>
        <scheme val="minor"/>
      </rPr>
      <t xml:space="preserve"> + ∑TF</t>
    </r>
    <r>
      <rPr>
        <b/>
        <i/>
        <vertAlign val="subscript"/>
        <sz val="12"/>
        <color theme="1"/>
        <rFont val="Calibri"/>
        <family val="2"/>
        <scheme val="minor"/>
      </rPr>
      <t>a</t>
    </r>
  </si>
  <si>
    <r>
      <t>Ulteriori componenti ex deliberazioni 443/2019/R/</t>
    </r>
    <r>
      <rPr>
        <b/>
        <sz val="11"/>
        <color rgb="FFC00000"/>
        <rFont val="Calibri"/>
        <family val="2"/>
        <scheme val="minor"/>
      </rPr>
      <t>RIF</t>
    </r>
    <r>
      <rPr>
        <b/>
        <sz val="14"/>
        <color rgb="FFC00000"/>
        <rFont val="Calibri"/>
        <family val="2"/>
        <scheme val="minor"/>
      </rPr>
      <t>, 238/2020/R/</t>
    </r>
    <r>
      <rPr>
        <b/>
        <sz val="11"/>
        <color rgb="FFC00000"/>
        <rFont val="Calibri"/>
        <family val="2"/>
        <scheme val="minor"/>
      </rPr>
      <t>RIF</t>
    </r>
    <r>
      <rPr>
        <b/>
        <sz val="14"/>
        <color rgb="FFC00000"/>
        <rFont val="Calibri"/>
        <family val="2"/>
        <scheme val="minor"/>
      </rPr>
      <t xml:space="preserve"> e 493/2020/R/</t>
    </r>
    <r>
      <rPr>
        <b/>
        <sz val="11"/>
        <color rgb="FFC00000"/>
        <rFont val="Calibri"/>
        <family val="2"/>
        <scheme val="minor"/>
      </rPr>
      <t>RIF</t>
    </r>
  </si>
  <si>
    <r>
      <t xml:space="preserve">Scostamento atteso dei costi variabili di cui all'articolo 7 bis del MTR   </t>
    </r>
    <r>
      <rPr>
        <b/>
        <i/>
        <sz val="12"/>
        <color theme="1"/>
        <rFont val="Calibri"/>
        <family val="2"/>
        <scheme val="minor"/>
      </rPr>
      <t>COV</t>
    </r>
    <r>
      <rPr>
        <b/>
        <i/>
        <vertAlign val="superscript"/>
        <sz val="12"/>
        <color theme="1"/>
        <rFont val="Calibri"/>
        <family val="2"/>
        <scheme val="minor"/>
      </rPr>
      <t>EXP</t>
    </r>
    <r>
      <rPr>
        <b/>
        <i/>
        <vertAlign val="subscript"/>
        <sz val="12"/>
        <color theme="1"/>
        <rFont val="Calibri"/>
        <family val="2"/>
        <scheme val="minor"/>
      </rPr>
      <t>TV</t>
    </r>
    <r>
      <rPr>
        <b/>
        <vertAlign val="subscript"/>
        <sz val="12"/>
        <rFont val="Calibri"/>
        <family val="2"/>
        <scheme val="minor"/>
      </rPr>
      <t>2021</t>
    </r>
  </si>
  <si>
    <r>
      <t xml:space="preserve">Oneri variabili per la tutela delle utenze domestiche di cui al comma 7 ter.1 del MTR   </t>
    </r>
    <r>
      <rPr>
        <b/>
        <i/>
        <sz val="12"/>
        <color theme="1"/>
        <rFont val="Calibri"/>
        <family val="2"/>
        <scheme val="minor"/>
      </rPr>
      <t>COS</t>
    </r>
    <r>
      <rPr>
        <b/>
        <i/>
        <vertAlign val="superscript"/>
        <sz val="12"/>
        <color theme="1"/>
        <rFont val="Calibri"/>
        <family val="2"/>
        <scheme val="minor"/>
      </rPr>
      <t>EXP</t>
    </r>
    <r>
      <rPr>
        <b/>
        <i/>
        <vertAlign val="subscript"/>
        <sz val="12"/>
        <color theme="1"/>
        <rFont val="Calibri"/>
        <family val="2"/>
        <scheme val="minor"/>
      </rPr>
      <t>TV</t>
    </r>
    <r>
      <rPr>
        <b/>
        <vertAlign val="subscript"/>
        <sz val="12"/>
        <color theme="1"/>
        <rFont val="Calibri"/>
        <family val="2"/>
        <scheme val="minor"/>
      </rPr>
      <t>,2021</t>
    </r>
  </si>
  <si>
    <r>
      <t>Numero di rate</t>
    </r>
    <r>
      <rPr>
        <sz val="12"/>
        <color rgb="FFFF0000"/>
        <rFont val="Calibri"/>
        <family val="2"/>
        <scheme val="minor"/>
      </rPr>
      <t xml:space="preserve"> </t>
    </r>
    <r>
      <rPr>
        <b/>
        <i/>
        <sz val="12"/>
        <rFont val="Calibri"/>
        <family val="2"/>
        <scheme val="minor"/>
      </rPr>
      <t>r'</t>
    </r>
  </si>
  <si>
    <r>
      <t>Rata annuale RCND</t>
    </r>
    <r>
      <rPr>
        <vertAlign val="subscript"/>
        <sz val="12"/>
        <rFont val="Calibri"/>
        <family val="2"/>
        <scheme val="minor"/>
      </rPr>
      <t>TV</t>
    </r>
    <r>
      <rPr>
        <sz val="12"/>
        <rFont val="Calibri"/>
        <family val="2"/>
        <scheme val="minor"/>
      </rPr>
      <t xml:space="preserve">   </t>
    </r>
    <r>
      <rPr>
        <b/>
        <i/>
        <sz val="12"/>
        <rFont val="Calibri"/>
        <family val="2"/>
        <scheme val="minor"/>
      </rPr>
      <t>RCND</t>
    </r>
    <r>
      <rPr>
        <b/>
        <i/>
        <vertAlign val="subscript"/>
        <sz val="12"/>
        <rFont val="Calibri"/>
        <family val="2"/>
        <scheme val="minor"/>
      </rPr>
      <t>TV</t>
    </r>
    <r>
      <rPr>
        <b/>
        <i/>
        <sz val="12"/>
        <rFont val="Calibri"/>
        <family val="2"/>
        <scheme val="minor"/>
      </rPr>
      <t>/r'</t>
    </r>
  </si>
  <si>
    <t xml:space="preserve">Deroga ex art. 107 c.5 d.l. 18/20: differenza tra costi variabili 2019 e costi variabili da PEF 2020 approvato in applicazione del MTR </t>
  </si>
  <si>
    <t>Numero di anni per il recupero della differenza tra costi 2019 e costi da PEF 2020 approvato in applicazione del MTR</t>
  </si>
  <si>
    <r>
      <t xml:space="preserve">Rata annuale conguaglio relativa ai costi variabili per deroga ex art. 107, c. 5, d.l. 18/20   </t>
    </r>
    <r>
      <rPr>
        <b/>
        <i/>
        <sz val="12"/>
        <rFont val="Calibri"/>
        <family val="2"/>
        <scheme val="minor"/>
      </rPr>
      <t>RCU</t>
    </r>
    <r>
      <rPr>
        <b/>
        <i/>
        <vertAlign val="subscript"/>
        <sz val="12"/>
        <rFont val="Calibri"/>
        <family val="2"/>
        <scheme val="minor"/>
      </rPr>
      <t>TV</t>
    </r>
  </si>
  <si>
    <t>Quota (relativa ai costi variabili) dei conguagli residui afferenti alle determinazioni tariffarie del 2020, da recuperare nel 2021</t>
  </si>
  <si>
    <r>
      <t xml:space="preserve">       di cui quota dei conguagli relativi all'annualità 2018  </t>
    </r>
    <r>
      <rPr>
        <b/>
        <i/>
        <sz val="12"/>
        <rFont val="Calibri"/>
        <family val="2"/>
        <scheme val="minor"/>
      </rPr>
      <t>(1+ɣ</t>
    </r>
    <r>
      <rPr>
        <b/>
        <i/>
        <vertAlign val="subscript"/>
        <sz val="12"/>
        <rFont val="Calibri"/>
        <family val="2"/>
        <scheme val="minor"/>
      </rPr>
      <t>2020</t>
    </r>
    <r>
      <rPr>
        <b/>
        <i/>
        <sz val="12"/>
        <rFont val="Calibri"/>
        <family val="2"/>
        <scheme val="minor"/>
      </rPr>
      <t>)RC</t>
    </r>
    <r>
      <rPr>
        <b/>
        <i/>
        <vertAlign val="subscript"/>
        <sz val="12"/>
        <rFont val="Calibri"/>
        <family val="2"/>
        <scheme val="minor"/>
      </rPr>
      <t>TV,2020</t>
    </r>
    <r>
      <rPr>
        <b/>
        <i/>
        <sz val="12"/>
        <rFont val="Calibri"/>
        <family val="2"/>
        <scheme val="minor"/>
      </rPr>
      <t>/r</t>
    </r>
    <r>
      <rPr>
        <b/>
        <i/>
        <vertAlign val="subscript"/>
        <sz val="12"/>
        <rFont val="Calibri"/>
        <family val="2"/>
        <scheme val="minor"/>
      </rPr>
      <t>2020</t>
    </r>
    <r>
      <rPr>
        <sz val="12"/>
        <rFont val="Calibri"/>
        <family val="2"/>
        <scheme val="minor"/>
      </rPr>
      <t xml:space="preserve">  </t>
    </r>
    <r>
      <rPr>
        <i/>
        <sz val="12"/>
        <rFont val="Calibri"/>
        <family val="2"/>
        <scheme val="minor"/>
      </rPr>
      <t xml:space="preserve">  </t>
    </r>
    <r>
      <rPr>
        <i/>
        <sz val="10"/>
        <rFont val="Calibri"/>
        <family val="2"/>
        <scheme val="minor"/>
      </rPr>
      <t>(se r</t>
    </r>
    <r>
      <rPr>
        <i/>
        <vertAlign val="subscript"/>
        <sz val="10"/>
        <rFont val="Calibri"/>
        <family val="2"/>
        <scheme val="minor"/>
      </rPr>
      <t>2020</t>
    </r>
    <r>
      <rPr>
        <i/>
        <sz val="10"/>
        <rFont val="Calibri"/>
        <family val="2"/>
        <scheme val="minor"/>
      </rPr>
      <t xml:space="preserve"> &gt; 1)</t>
    </r>
  </si>
  <si>
    <r>
      <t xml:space="preserve">Numero di rate conguagli relativi all'annualità 2018 (RC 2020)   </t>
    </r>
    <r>
      <rPr>
        <b/>
        <i/>
        <sz val="12"/>
        <rFont val="Calibri"/>
        <family val="2"/>
        <scheme val="minor"/>
      </rPr>
      <t>r</t>
    </r>
    <r>
      <rPr>
        <vertAlign val="subscript"/>
        <sz val="12"/>
        <rFont val="Calibri"/>
        <family val="2"/>
        <scheme val="minor"/>
      </rPr>
      <t>2020</t>
    </r>
    <r>
      <rPr>
        <sz val="12"/>
        <rFont val="Calibri"/>
        <family val="2"/>
        <scheme val="minor"/>
      </rPr>
      <t xml:space="preserve">       </t>
    </r>
    <r>
      <rPr>
        <i/>
        <sz val="10"/>
        <rFont val="Calibri"/>
        <family val="2"/>
        <scheme val="minor"/>
      </rPr>
      <t>(da PEF 2020)</t>
    </r>
  </si>
  <si>
    <r>
      <t>∑TV</t>
    </r>
    <r>
      <rPr>
        <b/>
        <vertAlign val="subscript"/>
        <sz val="12"/>
        <color theme="1"/>
        <rFont val="Calibri"/>
        <family val="2"/>
        <scheme val="minor"/>
      </rPr>
      <t>a</t>
    </r>
    <r>
      <rPr>
        <b/>
        <sz val="12"/>
        <color theme="1"/>
        <rFont val="Calibri"/>
        <family val="2"/>
        <scheme val="minor"/>
      </rPr>
      <t xml:space="preserve"> totale delle entrate tariffarie relative alle componenti di costo variabile (ex deliberazioni 443/2019/R/</t>
    </r>
    <r>
      <rPr>
        <b/>
        <sz val="10"/>
        <color theme="1"/>
        <rFont val="Calibri"/>
        <family val="2"/>
        <scheme val="minor"/>
      </rPr>
      <t>RIF</t>
    </r>
    <r>
      <rPr>
        <b/>
        <sz val="12"/>
        <color theme="1"/>
        <rFont val="Calibri"/>
        <family val="2"/>
        <scheme val="minor"/>
      </rPr>
      <t>, 238/2020/R/</t>
    </r>
    <r>
      <rPr>
        <b/>
        <sz val="10"/>
        <color theme="1"/>
        <rFont val="Calibri"/>
        <family val="2"/>
        <scheme val="minor"/>
      </rPr>
      <t>RIF</t>
    </r>
    <r>
      <rPr>
        <b/>
        <sz val="12"/>
        <color theme="1"/>
        <rFont val="Calibri"/>
        <family val="2"/>
        <scheme val="minor"/>
      </rPr>
      <t xml:space="preserve"> e </t>
    </r>
    <r>
      <rPr>
        <b/>
        <sz val="12"/>
        <rFont val="Calibri"/>
        <family val="2"/>
        <scheme val="minor"/>
      </rPr>
      <t>493</t>
    </r>
    <r>
      <rPr>
        <b/>
        <sz val="12"/>
        <color theme="1"/>
        <rFont val="Calibri"/>
        <family val="2"/>
        <scheme val="minor"/>
      </rPr>
      <t>/2020/R/</t>
    </r>
    <r>
      <rPr>
        <b/>
        <sz val="9"/>
        <color theme="1"/>
        <rFont val="Calibri"/>
        <family val="2"/>
        <scheme val="minor"/>
      </rPr>
      <t>RIF</t>
    </r>
    <r>
      <rPr>
        <b/>
        <sz val="12"/>
        <color theme="1"/>
        <rFont val="Calibri"/>
        <family val="2"/>
        <scheme val="minor"/>
      </rPr>
      <t>)</t>
    </r>
  </si>
  <si>
    <r>
      <t xml:space="preserve">Scostamento atteso dei costi fissi di cui all'articolo 7 bis del MTR   </t>
    </r>
    <r>
      <rPr>
        <b/>
        <i/>
        <sz val="12"/>
        <rFont val="Calibri"/>
        <family val="2"/>
        <scheme val="minor"/>
      </rPr>
      <t>COV</t>
    </r>
    <r>
      <rPr>
        <b/>
        <i/>
        <vertAlign val="superscript"/>
        <sz val="12"/>
        <rFont val="Calibri"/>
        <family val="2"/>
        <scheme val="minor"/>
      </rPr>
      <t>EXP</t>
    </r>
    <r>
      <rPr>
        <b/>
        <i/>
        <vertAlign val="subscript"/>
        <sz val="12"/>
        <rFont val="Calibri"/>
        <family val="2"/>
        <scheme val="minor"/>
      </rPr>
      <t>TF</t>
    </r>
    <r>
      <rPr>
        <b/>
        <vertAlign val="subscript"/>
        <sz val="12"/>
        <rFont val="Calibri"/>
        <family val="2"/>
        <scheme val="minor"/>
      </rPr>
      <t>2021</t>
    </r>
  </si>
  <si>
    <t xml:space="preserve">Deroga ex art. 107 c.5 d.l. 18/20: differenza tra costi fissi 2019 e costi fissi da PEF 2020 approvato in applicazione del MTR </t>
  </si>
  <si>
    <r>
      <t xml:space="preserve">Rata annuale conguaglio relativa ai costi fissi per deroga ex art. 107, c. 5, d.l. 18/20   </t>
    </r>
    <r>
      <rPr>
        <b/>
        <i/>
        <sz val="12"/>
        <rFont val="Calibri"/>
        <family val="2"/>
        <scheme val="minor"/>
      </rPr>
      <t>RCU</t>
    </r>
    <r>
      <rPr>
        <b/>
        <i/>
        <vertAlign val="subscript"/>
        <sz val="12"/>
        <rFont val="Calibri"/>
        <family val="2"/>
        <scheme val="minor"/>
      </rPr>
      <t>TF</t>
    </r>
  </si>
  <si>
    <t>Quota (relativa ai costi fissi) dei conguagli residui afferenti alle determinazioni tariffarie del 2020, da recuperare nel 2021</t>
  </si>
  <si>
    <r>
      <t xml:space="preserve">       di cui quota dei conguagli relativi all'annualità 2018   </t>
    </r>
    <r>
      <rPr>
        <b/>
        <i/>
        <sz val="12"/>
        <rFont val="Calibri"/>
        <family val="2"/>
        <scheme val="minor"/>
      </rPr>
      <t>(1+ɣ</t>
    </r>
    <r>
      <rPr>
        <b/>
        <i/>
        <vertAlign val="subscript"/>
        <sz val="12"/>
        <rFont val="Calibri"/>
        <family val="2"/>
        <scheme val="minor"/>
      </rPr>
      <t>2020</t>
    </r>
    <r>
      <rPr>
        <b/>
        <i/>
        <sz val="12"/>
        <rFont val="Calibri"/>
        <family val="2"/>
        <scheme val="minor"/>
      </rPr>
      <t>)RC</t>
    </r>
    <r>
      <rPr>
        <b/>
        <i/>
        <vertAlign val="subscript"/>
        <sz val="12"/>
        <rFont val="Calibri"/>
        <family val="2"/>
        <scheme val="minor"/>
      </rPr>
      <t>TF,2020</t>
    </r>
    <r>
      <rPr>
        <b/>
        <i/>
        <sz val="12"/>
        <rFont val="Calibri"/>
        <family val="2"/>
        <scheme val="minor"/>
      </rPr>
      <t>/r</t>
    </r>
    <r>
      <rPr>
        <vertAlign val="subscript"/>
        <sz val="12"/>
        <rFont val="Calibri"/>
        <family val="2"/>
        <scheme val="minor"/>
      </rPr>
      <t>2020</t>
    </r>
    <r>
      <rPr>
        <sz val="12"/>
        <rFont val="Calibri"/>
        <family val="2"/>
        <scheme val="minor"/>
      </rPr>
      <t xml:space="preserve">       </t>
    </r>
    <r>
      <rPr>
        <i/>
        <sz val="10"/>
        <rFont val="Calibri"/>
        <family val="2"/>
        <scheme val="minor"/>
      </rPr>
      <t>(se r</t>
    </r>
    <r>
      <rPr>
        <i/>
        <vertAlign val="subscript"/>
        <sz val="10"/>
        <rFont val="Calibri"/>
        <family val="2"/>
        <scheme val="minor"/>
      </rPr>
      <t>2020</t>
    </r>
    <r>
      <rPr>
        <i/>
        <sz val="10"/>
        <rFont val="Calibri"/>
        <family val="2"/>
        <scheme val="minor"/>
      </rPr>
      <t xml:space="preserve"> &gt; 1)</t>
    </r>
  </si>
  <si>
    <r>
      <t>Numero di rate conguagli relativi all'annualità 2018 (RC 2020)   r</t>
    </r>
    <r>
      <rPr>
        <vertAlign val="subscript"/>
        <sz val="12"/>
        <rFont val="Calibri"/>
        <family val="2"/>
        <scheme val="minor"/>
      </rPr>
      <t>2020</t>
    </r>
    <r>
      <rPr>
        <sz val="12"/>
        <rFont val="Calibri"/>
        <family val="2"/>
        <scheme val="minor"/>
      </rPr>
      <t xml:space="preserve">       </t>
    </r>
    <r>
      <rPr>
        <i/>
        <sz val="10"/>
        <rFont val="Calibri"/>
        <family val="2"/>
        <scheme val="minor"/>
      </rPr>
      <t>(da PEF 2020)</t>
    </r>
  </si>
  <si>
    <r>
      <t>∑TF</t>
    </r>
    <r>
      <rPr>
        <b/>
        <vertAlign val="subscript"/>
        <sz val="12"/>
        <color theme="1"/>
        <rFont val="Calibri"/>
        <family val="2"/>
        <scheme val="minor"/>
      </rPr>
      <t>a</t>
    </r>
    <r>
      <rPr>
        <b/>
        <sz val="12"/>
        <color theme="1"/>
        <rFont val="Calibri"/>
        <family val="2"/>
        <scheme val="minor"/>
      </rPr>
      <t xml:space="preserve"> totale delle entrate tariffarie relative alle componenti di costo fisse  (ex deliberazioni 443/2019/R/RIF, 238/2020/R/RIF e </t>
    </r>
    <r>
      <rPr>
        <b/>
        <sz val="12"/>
        <rFont val="Calibri"/>
        <family val="2"/>
        <scheme val="minor"/>
      </rPr>
      <t>493</t>
    </r>
    <r>
      <rPr>
        <b/>
        <sz val="12"/>
        <color theme="1"/>
        <rFont val="Calibri"/>
        <family val="2"/>
        <scheme val="minor"/>
      </rPr>
      <t>/2020/R/RIF)</t>
    </r>
  </si>
  <si>
    <r>
      <t>∑T</t>
    </r>
    <r>
      <rPr>
        <b/>
        <vertAlign val="subscript"/>
        <sz val="12"/>
        <color theme="1"/>
        <rFont val="Calibri"/>
        <family val="2"/>
        <scheme val="minor"/>
      </rPr>
      <t>a</t>
    </r>
    <r>
      <rPr>
        <b/>
        <sz val="12"/>
        <color theme="1"/>
        <rFont val="Calibri"/>
        <family val="2"/>
        <scheme val="minor"/>
      </rPr>
      <t>= ∑TV</t>
    </r>
    <r>
      <rPr>
        <b/>
        <vertAlign val="subscript"/>
        <sz val="12"/>
        <color theme="1"/>
        <rFont val="Calibri"/>
        <family val="2"/>
        <scheme val="minor"/>
      </rPr>
      <t>a</t>
    </r>
    <r>
      <rPr>
        <b/>
        <sz val="12"/>
        <color theme="1"/>
        <rFont val="Calibri"/>
        <family val="2"/>
        <scheme val="minor"/>
      </rPr>
      <t xml:space="preserve"> + ∑TF</t>
    </r>
    <r>
      <rPr>
        <b/>
        <vertAlign val="subscript"/>
        <sz val="12"/>
        <color theme="1"/>
        <rFont val="Calibri"/>
        <family val="2"/>
        <scheme val="minor"/>
      </rPr>
      <t>a</t>
    </r>
    <r>
      <rPr>
        <b/>
        <sz val="12"/>
        <color theme="1"/>
        <rFont val="Calibri"/>
        <family val="2"/>
        <scheme val="minor"/>
      </rPr>
      <t xml:space="preserve">  (ex deliberazioni 443/2019/R/RIF, 238/2020/R/RIF e </t>
    </r>
    <r>
      <rPr>
        <b/>
        <sz val="12"/>
        <rFont val="Calibri"/>
        <family val="2"/>
        <scheme val="minor"/>
      </rPr>
      <t>493</t>
    </r>
    <r>
      <rPr>
        <b/>
        <sz val="12"/>
        <color theme="1"/>
        <rFont val="Calibri"/>
        <family val="2"/>
        <scheme val="minor"/>
      </rPr>
      <t>/2020/R/RIF)</t>
    </r>
  </si>
  <si>
    <r>
      <t xml:space="preserve">raccolta differenziata   </t>
    </r>
    <r>
      <rPr>
        <i/>
        <sz val="12"/>
        <color theme="1"/>
        <rFont val="Calibri"/>
        <family val="2"/>
        <scheme val="minor"/>
      </rPr>
      <t>%</t>
    </r>
  </si>
  <si>
    <r>
      <t>q</t>
    </r>
    <r>
      <rPr>
        <i/>
        <vertAlign val="subscript"/>
        <sz val="12"/>
        <color theme="1"/>
        <rFont val="Calibri"/>
        <family val="2"/>
        <scheme val="minor"/>
      </rPr>
      <t>a-2</t>
    </r>
    <r>
      <rPr>
        <i/>
        <sz val="12"/>
        <color theme="1"/>
        <rFont val="Calibri"/>
        <family val="2"/>
        <scheme val="minor"/>
      </rPr>
      <t xml:space="preserve">  </t>
    </r>
    <r>
      <rPr>
        <i/>
        <sz val="12"/>
        <rFont val="Calibri"/>
        <family val="2"/>
        <scheme val="minor"/>
      </rPr>
      <t xml:space="preserve"> kg</t>
    </r>
  </si>
  <si>
    <r>
      <t xml:space="preserve">costo unitario effettivo - Cueff   </t>
    </r>
    <r>
      <rPr>
        <i/>
        <sz val="12"/>
        <color theme="1"/>
        <rFont val="Calibri"/>
        <family val="2"/>
        <scheme val="minor"/>
      </rPr>
      <t>€cent/kg</t>
    </r>
  </si>
  <si>
    <r>
      <t xml:space="preserve">fabbisogno standard   </t>
    </r>
    <r>
      <rPr>
        <i/>
        <sz val="12"/>
        <color theme="1"/>
        <rFont val="Calibri"/>
        <family val="2"/>
        <scheme val="minor"/>
      </rPr>
      <t>€cent/kg</t>
    </r>
  </si>
  <si>
    <r>
      <t xml:space="preserve">costo medio settore   </t>
    </r>
    <r>
      <rPr>
        <i/>
        <sz val="12"/>
        <color theme="1"/>
        <rFont val="Calibri"/>
        <family val="2"/>
        <scheme val="minor"/>
      </rPr>
      <t>€cent/kg</t>
    </r>
    <r>
      <rPr>
        <sz val="12"/>
        <color theme="1"/>
        <rFont val="Calibri"/>
        <family val="2"/>
        <scheme val="minor"/>
      </rPr>
      <t xml:space="preserve"> </t>
    </r>
  </si>
  <si>
    <r>
      <t xml:space="preserve">valutazione rispetto agli obiettivi di raccolta differenziata   </t>
    </r>
    <r>
      <rPr>
        <b/>
        <i/>
        <sz val="12"/>
        <color theme="1"/>
        <rFont val="Calibri"/>
        <family val="2"/>
        <scheme val="minor"/>
      </rPr>
      <t>ɣ</t>
    </r>
    <r>
      <rPr>
        <b/>
        <i/>
        <vertAlign val="subscript"/>
        <sz val="12"/>
        <color theme="1"/>
        <rFont val="Calibri"/>
        <family val="2"/>
        <scheme val="minor"/>
      </rPr>
      <t>1</t>
    </r>
    <r>
      <rPr>
        <sz val="12"/>
        <color theme="1"/>
        <rFont val="Calibri"/>
        <family val="2"/>
        <scheme val="minor"/>
      </rPr>
      <t xml:space="preserve"> </t>
    </r>
  </si>
  <si>
    <r>
      <t xml:space="preserve">valutazione rispetto all' efficacia dell' attività di preparazione per il riutilizzo e riciclo   </t>
    </r>
    <r>
      <rPr>
        <b/>
        <i/>
        <sz val="12"/>
        <color theme="1"/>
        <rFont val="Calibri"/>
        <family val="2"/>
        <scheme val="minor"/>
      </rPr>
      <t>ɣ</t>
    </r>
    <r>
      <rPr>
        <b/>
        <i/>
        <vertAlign val="subscript"/>
        <sz val="12"/>
        <color theme="1"/>
        <rFont val="Calibri"/>
        <family val="2"/>
        <scheme val="minor"/>
      </rPr>
      <t>2</t>
    </r>
    <r>
      <rPr>
        <sz val="12"/>
        <color theme="1"/>
        <rFont val="Calibri"/>
        <family val="2"/>
        <scheme val="minor"/>
      </rPr>
      <t xml:space="preserve"> </t>
    </r>
  </si>
  <si>
    <r>
      <t xml:space="preserve">valutazione rispetto alla soddisfazione degli utenti del servizio   </t>
    </r>
    <r>
      <rPr>
        <b/>
        <i/>
        <sz val="12"/>
        <color theme="1"/>
        <rFont val="Calibri"/>
        <family val="2"/>
        <scheme val="minor"/>
      </rPr>
      <t>ɣ</t>
    </r>
    <r>
      <rPr>
        <b/>
        <i/>
        <vertAlign val="subscript"/>
        <sz val="12"/>
        <color theme="1"/>
        <rFont val="Calibri"/>
        <family val="2"/>
        <scheme val="minor"/>
      </rPr>
      <t>3</t>
    </r>
    <r>
      <rPr>
        <sz val="12"/>
        <color theme="1"/>
        <rFont val="Calibri"/>
        <family val="2"/>
        <scheme val="minor"/>
      </rPr>
      <t xml:space="preserve"> </t>
    </r>
  </si>
  <si>
    <r>
      <t xml:space="preserve">Totale   </t>
    </r>
    <r>
      <rPr>
        <b/>
        <i/>
        <sz val="12"/>
        <color theme="1"/>
        <rFont val="Symbol"/>
        <family val="1"/>
        <charset val="2"/>
      </rPr>
      <t>g</t>
    </r>
  </si>
  <si>
    <r>
      <t xml:space="preserve">Coefficiente di gradualità   </t>
    </r>
    <r>
      <rPr>
        <b/>
        <i/>
        <sz val="12"/>
        <color theme="1"/>
        <rFont val="Arial"/>
        <family val="2"/>
      </rPr>
      <t>(1+</t>
    </r>
    <r>
      <rPr>
        <b/>
        <i/>
        <sz val="12"/>
        <color theme="1"/>
        <rFont val="Symbol"/>
        <family val="1"/>
        <charset val="2"/>
      </rPr>
      <t>g</t>
    </r>
    <r>
      <rPr>
        <b/>
        <i/>
        <sz val="12"/>
        <color theme="1"/>
        <rFont val="Arial"/>
        <family val="2"/>
      </rPr>
      <t>)</t>
    </r>
  </si>
  <si>
    <r>
      <t xml:space="preserve">coefficiente di recupero di produttività   </t>
    </r>
    <r>
      <rPr>
        <b/>
        <i/>
        <sz val="12"/>
        <color theme="1"/>
        <rFont val="Calibri"/>
        <family val="2"/>
        <scheme val="minor"/>
      </rPr>
      <t>X</t>
    </r>
    <r>
      <rPr>
        <i/>
        <vertAlign val="subscript"/>
        <sz val="12"/>
        <color theme="1"/>
        <rFont val="Calibri"/>
        <family val="2"/>
        <scheme val="minor"/>
      </rPr>
      <t>a</t>
    </r>
    <r>
      <rPr>
        <sz val="12"/>
        <color theme="1"/>
        <rFont val="Calibri"/>
        <family val="2"/>
        <scheme val="minor"/>
      </rPr>
      <t xml:space="preserve"> </t>
    </r>
  </si>
  <si>
    <r>
      <t xml:space="preserve">coeff. per il miglioramento previsto della qualità </t>
    </r>
    <r>
      <rPr>
        <b/>
        <sz val="12"/>
        <color theme="1"/>
        <rFont val="Calibri"/>
        <family val="2"/>
        <scheme val="minor"/>
      </rPr>
      <t xml:space="preserve">  </t>
    </r>
    <r>
      <rPr>
        <b/>
        <i/>
        <sz val="12"/>
        <color theme="1"/>
        <rFont val="Calibri"/>
        <family val="2"/>
        <scheme val="minor"/>
      </rPr>
      <t>QL</t>
    </r>
    <r>
      <rPr>
        <b/>
        <i/>
        <vertAlign val="subscript"/>
        <sz val="12"/>
        <color theme="1"/>
        <rFont val="Calibri"/>
        <family val="2"/>
        <scheme val="minor"/>
      </rPr>
      <t>a</t>
    </r>
    <r>
      <rPr>
        <b/>
        <sz val="12"/>
        <color theme="1"/>
        <rFont val="Calibri"/>
        <family val="2"/>
        <scheme val="minor"/>
      </rPr>
      <t xml:space="preserve"> </t>
    </r>
  </si>
  <si>
    <r>
      <t xml:space="preserve">coeff. per la valorizzazione di modifiche del perimetro gestionale   </t>
    </r>
    <r>
      <rPr>
        <b/>
        <i/>
        <sz val="12"/>
        <color theme="1"/>
        <rFont val="Calibri"/>
        <family val="2"/>
        <scheme val="minor"/>
      </rPr>
      <t>PG</t>
    </r>
    <r>
      <rPr>
        <b/>
        <i/>
        <vertAlign val="subscript"/>
        <sz val="12"/>
        <color theme="1"/>
        <rFont val="Calibri"/>
        <family val="2"/>
        <scheme val="minor"/>
      </rPr>
      <t>a</t>
    </r>
    <r>
      <rPr>
        <sz val="12"/>
        <color theme="1"/>
        <rFont val="Calibri"/>
        <family val="2"/>
        <scheme val="minor"/>
      </rPr>
      <t xml:space="preserve"> </t>
    </r>
  </si>
  <si>
    <r>
      <t xml:space="preserve">coeff. per l'emergenza COVID-19   </t>
    </r>
    <r>
      <rPr>
        <b/>
        <i/>
        <sz val="12"/>
        <color theme="1"/>
        <rFont val="Calibri"/>
        <family val="2"/>
        <scheme val="minor"/>
      </rPr>
      <t>C19</t>
    </r>
    <r>
      <rPr>
        <b/>
        <i/>
        <vertAlign val="subscript"/>
        <sz val="12"/>
        <rFont val="Calibri"/>
        <family val="2"/>
        <scheme val="minor"/>
      </rPr>
      <t>2021</t>
    </r>
    <r>
      <rPr>
        <sz val="12"/>
        <rFont val="Calibri"/>
        <family val="2"/>
        <scheme val="minor"/>
      </rPr>
      <t xml:space="preserve"> </t>
    </r>
  </si>
  <si>
    <r>
      <t xml:space="preserve">Parametro per la determinazione del limite alla crescita delle tariffe   </t>
    </r>
    <r>
      <rPr>
        <b/>
        <i/>
        <sz val="12"/>
        <color theme="1"/>
        <rFont val="Symbol"/>
        <family val="1"/>
        <charset val="2"/>
      </rPr>
      <t>r</t>
    </r>
  </si>
  <si>
    <r>
      <rPr>
        <b/>
        <i/>
        <sz val="12"/>
        <color theme="1"/>
        <rFont val="Calibri"/>
        <family val="2"/>
        <scheme val="minor"/>
      </rPr>
      <t>(1+</t>
    </r>
    <r>
      <rPr>
        <b/>
        <i/>
        <sz val="12"/>
        <color theme="1"/>
        <rFont val="Symbol"/>
        <family val="1"/>
        <charset val="2"/>
      </rPr>
      <t>r</t>
    </r>
    <r>
      <rPr>
        <b/>
        <i/>
        <sz val="12"/>
        <color theme="1"/>
        <rFont val="Calibri"/>
        <family val="2"/>
        <scheme val="minor"/>
      </rPr>
      <t>)</t>
    </r>
  </si>
  <si>
    <r>
      <t xml:space="preserve"> </t>
    </r>
    <r>
      <rPr>
        <i/>
        <sz val="12"/>
        <color theme="1"/>
        <rFont val="Calibri"/>
        <family val="2"/>
        <scheme val="minor"/>
      </rPr>
      <t>∑T</t>
    </r>
    <r>
      <rPr>
        <i/>
        <vertAlign val="subscript"/>
        <sz val="12"/>
        <color theme="1"/>
        <rFont val="Calibri"/>
        <family val="2"/>
        <scheme val="minor"/>
      </rPr>
      <t>a</t>
    </r>
  </si>
  <si>
    <r>
      <t xml:space="preserve"> </t>
    </r>
    <r>
      <rPr>
        <i/>
        <sz val="12"/>
        <color theme="1"/>
        <rFont val="Calibri"/>
        <family val="2"/>
        <scheme val="minor"/>
      </rPr>
      <t>∑TV</t>
    </r>
    <r>
      <rPr>
        <i/>
        <vertAlign val="subscript"/>
        <sz val="12"/>
        <color theme="1"/>
        <rFont val="Calibri"/>
        <family val="2"/>
        <scheme val="minor"/>
      </rPr>
      <t>a-1</t>
    </r>
  </si>
  <si>
    <r>
      <t xml:space="preserve"> </t>
    </r>
    <r>
      <rPr>
        <i/>
        <sz val="12"/>
        <color theme="1"/>
        <rFont val="Calibri"/>
        <family val="2"/>
        <scheme val="minor"/>
      </rPr>
      <t>∑TF</t>
    </r>
    <r>
      <rPr>
        <i/>
        <vertAlign val="subscript"/>
        <sz val="12"/>
        <color theme="1"/>
        <rFont val="Calibri"/>
        <family val="2"/>
        <scheme val="minor"/>
      </rPr>
      <t>a-1</t>
    </r>
  </si>
  <si>
    <r>
      <t xml:space="preserve"> </t>
    </r>
    <r>
      <rPr>
        <i/>
        <sz val="12"/>
        <color theme="1"/>
        <rFont val="Calibri"/>
        <family val="2"/>
        <scheme val="minor"/>
      </rPr>
      <t>∑T</t>
    </r>
    <r>
      <rPr>
        <i/>
        <vertAlign val="subscript"/>
        <sz val="12"/>
        <color theme="1"/>
        <rFont val="Calibri"/>
        <family val="2"/>
        <scheme val="minor"/>
      </rPr>
      <t>a-1</t>
    </r>
  </si>
  <si>
    <r>
      <t xml:space="preserve"> </t>
    </r>
    <r>
      <rPr>
        <b/>
        <i/>
        <sz val="12"/>
        <color theme="1"/>
        <rFont val="Calibri"/>
        <family val="2"/>
        <scheme val="minor"/>
      </rPr>
      <t>∑T</t>
    </r>
    <r>
      <rPr>
        <b/>
        <i/>
        <vertAlign val="subscript"/>
        <sz val="12"/>
        <color theme="1"/>
        <rFont val="Calibri"/>
        <family val="2"/>
        <scheme val="minor"/>
      </rPr>
      <t>a</t>
    </r>
    <r>
      <rPr>
        <b/>
        <i/>
        <sz val="12"/>
        <color theme="1"/>
        <rFont val="Calibri"/>
        <family val="2"/>
        <scheme val="minor"/>
      </rPr>
      <t>/ ∑T</t>
    </r>
    <r>
      <rPr>
        <b/>
        <i/>
        <vertAlign val="subscript"/>
        <sz val="12"/>
        <color theme="1"/>
        <rFont val="Calibri"/>
        <family val="2"/>
        <scheme val="minor"/>
      </rPr>
      <t>a-1</t>
    </r>
  </si>
  <si>
    <r>
      <t>∑T</t>
    </r>
    <r>
      <rPr>
        <b/>
        <vertAlign val="subscript"/>
        <sz val="12"/>
        <color theme="1"/>
        <rFont val="Calibri"/>
        <family val="2"/>
        <scheme val="minor"/>
      </rPr>
      <t>max</t>
    </r>
    <r>
      <rPr>
        <b/>
        <sz val="12"/>
        <color theme="1"/>
        <rFont val="Calibri"/>
        <family val="2"/>
        <scheme val="minor"/>
      </rPr>
      <t xml:space="preserve">  (entrate tariffarie massime applicabili nel rispetto del limite di crescita)</t>
    </r>
  </si>
  <si>
    <r>
      <t>delta (∑T</t>
    </r>
    <r>
      <rPr>
        <b/>
        <vertAlign val="subscript"/>
        <sz val="12"/>
        <color theme="1"/>
        <rFont val="Calibri"/>
        <family val="2"/>
        <scheme val="minor"/>
      </rPr>
      <t>a</t>
    </r>
    <r>
      <rPr>
        <b/>
        <sz val="12"/>
        <color theme="1"/>
        <rFont val="Calibri"/>
        <family val="2"/>
        <scheme val="minor"/>
      </rPr>
      <t>-∑T</t>
    </r>
    <r>
      <rPr>
        <b/>
        <vertAlign val="subscript"/>
        <sz val="12"/>
        <color theme="1"/>
        <rFont val="Calibri"/>
        <family val="2"/>
        <scheme val="minor"/>
      </rPr>
      <t>max</t>
    </r>
    <r>
      <rPr>
        <b/>
        <sz val="12"/>
        <color theme="1"/>
        <rFont val="Calibri"/>
        <family val="2"/>
        <scheme val="minor"/>
      </rPr>
      <t>)</t>
    </r>
  </si>
  <si>
    <r>
      <t xml:space="preserve">Riclassifica </t>
    </r>
    <r>
      <rPr>
        <b/>
        <sz val="12"/>
        <color theme="1"/>
        <rFont val="Calibri"/>
        <family val="2"/>
        <scheme val="minor"/>
      </rPr>
      <t>TV</t>
    </r>
    <r>
      <rPr>
        <b/>
        <vertAlign val="subscript"/>
        <sz val="12"/>
        <color theme="1"/>
        <rFont val="Calibri"/>
        <family val="2"/>
        <scheme val="minor"/>
      </rPr>
      <t>a</t>
    </r>
    <r>
      <rPr>
        <b/>
        <sz val="12"/>
        <color theme="1"/>
        <rFont val="Calibri"/>
        <family val="2"/>
        <scheme val="minor"/>
      </rPr>
      <t xml:space="preserve"> </t>
    </r>
  </si>
  <si>
    <r>
      <t>Riclassifica</t>
    </r>
    <r>
      <rPr>
        <b/>
        <sz val="12"/>
        <color theme="1"/>
        <rFont val="Calibri"/>
        <family val="2"/>
        <scheme val="minor"/>
      </rPr>
      <t xml:space="preserve"> TF</t>
    </r>
    <r>
      <rPr>
        <b/>
        <vertAlign val="subscript"/>
        <sz val="12"/>
        <color theme="1"/>
        <rFont val="Calibri"/>
        <family val="2"/>
        <scheme val="minor"/>
      </rPr>
      <t>a</t>
    </r>
  </si>
  <si>
    <r>
      <t>Riepilogo delle componenti a conguaglio il cui recupero in tariffa è rinviato alle annualità successive al 2021</t>
    </r>
    <r>
      <rPr>
        <b/>
        <i/>
        <sz val="14"/>
        <color rgb="FFC00000"/>
        <rFont val="Calibri"/>
        <family val="2"/>
        <scheme val="minor"/>
      </rPr>
      <t xml:space="preserve"> </t>
    </r>
    <r>
      <rPr>
        <b/>
        <i/>
        <sz val="9"/>
        <color rgb="FFC00000"/>
        <rFont val="Calibri"/>
        <family val="2"/>
        <scheme val="minor"/>
      </rPr>
      <t>(NON COMPILABILE)</t>
    </r>
  </si>
  <si>
    <t>Quota residua dei conguagli relativi all’annualità 2018 (come determinati nell’ambito del PEF 2020)</t>
  </si>
  <si>
    <t>Quota residua dei conguagli relativi all’annualità 2019</t>
  </si>
  <si>
    <t xml:space="preserve">di cui quota residua della componente a conguaglio dei costi variabili riconosciuta, relativa all'annualità 2019 </t>
  </si>
  <si>
    <t>di cui quota residua della componente a conguaglio dei costi fissi riconosciuta, relativa all'annualità 2019</t>
  </si>
  <si>
    <r>
      <t>Quota residua recupero delle mancate entrate tariffarie 2020 per applicazione dei fattori di correzione ex del. 158/2020/R/</t>
    </r>
    <r>
      <rPr>
        <sz val="10"/>
        <color theme="1"/>
        <rFont val="Calibri"/>
        <family val="2"/>
        <scheme val="minor"/>
      </rPr>
      <t>RIF</t>
    </r>
    <r>
      <rPr>
        <sz val="12"/>
        <color theme="1"/>
        <rFont val="Calibri"/>
        <family val="2"/>
        <scheme val="minor"/>
      </rPr>
      <t xml:space="preserve"> </t>
    </r>
    <r>
      <rPr>
        <sz val="12"/>
        <rFont val="Calibri"/>
        <family val="2"/>
        <scheme val="minor"/>
      </rPr>
      <t>(relativa a RCND</t>
    </r>
    <r>
      <rPr>
        <vertAlign val="subscript"/>
        <sz val="12"/>
        <rFont val="Calibri"/>
        <family val="2"/>
        <scheme val="minor"/>
      </rPr>
      <t>TV</t>
    </r>
    <r>
      <rPr>
        <sz val="12"/>
        <rFont val="Calibri"/>
        <family val="2"/>
        <scheme val="minor"/>
      </rPr>
      <t>)</t>
    </r>
  </si>
  <si>
    <r>
      <t xml:space="preserve">Quota residua conguaglio per recupero derivante da tariffe in deroga ex art. 107 c. 5 d.l. 18/20 </t>
    </r>
    <r>
      <rPr>
        <sz val="12"/>
        <rFont val="Calibri"/>
        <family val="2"/>
        <scheme val="minor"/>
      </rPr>
      <t>(relativa alle componenti RCU)</t>
    </r>
  </si>
  <si>
    <t xml:space="preserve">Componente a conguaglio relativa all'annualità 2019   RC = RCTV+RCTF </t>
  </si>
  <si>
    <t xml:space="preserve">Numero di rate residue della componente a conguaglio RC relativa all'annualità 2019 </t>
  </si>
  <si>
    <t>Comune</t>
  </si>
  <si>
    <t>Gestore</t>
  </si>
  <si>
    <t>Tariffa finale solo attività in perimetro</t>
  </si>
  <si>
    <t>Parametri per le componenti ex 238/2020/R/RIF e art. 107 c.5 d.l. 18/20</t>
  </si>
  <si>
    <r>
      <t>Numero di rate r' per componenete RCND</t>
    </r>
    <r>
      <rPr>
        <vertAlign val="subscript"/>
        <sz val="11"/>
        <color theme="1"/>
        <rFont val="Arial Narrow"/>
        <family val="2"/>
      </rPr>
      <t>TV</t>
    </r>
  </si>
  <si>
    <t>Differenza costi 2019 e costi da PEF 2020 (deroga ex art 107 c.5 d.l. 18/20)</t>
  </si>
  <si>
    <t>Numero di anni per il recupero</t>
  </si>
  <si>
    <t>Anno 2021</t>
  </si>
  <si>
    <t>Anno 2019</t>
  </si>
  <si>
    <t>Tariffa finale con fuori perimetro</t>
  </si>
  <si>
    <t>Condizione gamma2021</t>
  </si>
  <si>
    <t>Descrizione metodo tariffario servizio intergato di gestione dei rifiuti (Allegato A della deliberazione 443/2019/R/rif - MTR testo integrato con delibere 238/2020/R/rif e 493/2020/R/rif)</t>
  </si>
  <si>
    <t>https://www.arera.it/allegati/docs/19/MTR_ti.pdf</t>
  </si>
  <si>
    <t>Aggiornamento del Metodo Tariffario Rifiuti (MTR) ai fini delle predisposizioni tariffarie per l’anno 2021</t>
  </si>
  <si>
    <t>https://www.arera.it/allegati/docs/20/493-20.pdf</t>
  </si>
  <si>
    <t>Valori da attingere dal PEF 2020</t>
  </si>
  <si>
    <r>
      <t>Componente a conguaglio relativa ai costi fissi</t>
    </r>
    <r>
      <rPr>
        <b/>
        <sz val="12"/>
        <color theme="1"/>
        <rFont val="Calibri"/>
        <family val="2"/>
        <scheme val="minor"/>
      </rPr>
      <t xml:space="preserve"> </t>
    </r>
    <r>
      <rPr>
        <sz val="12"/>
        <color theme="1"/>
        <rFont val="Calibri"/>
        <family val="2"/>
        <scheme val="minor"/>
      </rPr>
      <t xml:space="preserve">  </t>
    </r>
    <r>
      <rPr>
        <b/>
        <i/>
        <sz val="12"/>
        <color theme="1"/>
        <rFont val="Calibri"/>
        <family val="2"/>
        <scheme val="minor"/>
      </rPr>
      <t>RC</t>
    </r>
    <r>
      <rPr>
        <b/>
        <i/>
        <vertAlign val="subscript"/>
        <sz val="12"/>
        <color theme="1"/>
        <rFont val="Calibri"/>
        <family val="2"/>
        <scheme val="minor"/>
      </rPr>
      <t>TF</t>
    </r>
  </si>
  <si>
    <r>
      <t xml:space="preserve">La componente </t>
    </r>
    <r>
      <rPr>
        <sz val="12"/>
        <color theme="1"/>
        <rFont val="Arial Narrow"/>
        <family val="2"/>
      </rPr>
      <t>RCND</t>
    </r>
    <r>
      <rPr>
        <vertAlign val="subscript"/>
        <sz val="12"/>
        <color theme="1"/>
        <rFont val="Arial Narrow"/>
        <family val="2"/>
      </rPr>
      <t xml:space="preserve">TV </t>
    </r>
    <r>
      <rPr>
        <sz val="11"/>
        <color theme="1"/>
        <rFont val="Arial Narrow"/>
        <family val="2"/>
      </rPr>
      <t xml:space="preserve"> è la componente di rinvio alle annualità successive di una quota dei costi, a decurtazione delle entrate tariffarie relative alle componenti di costo variabile, derivante dal recupero delle mancate entrate tariffarie relative all’anno 2020 a seguito dell’applicazione dei fattori di correzione adottati con la deliberazione 158/2020/R/RIF per le utenze non domestiche.
Nell’anno 2020, l’Ente territorialmente competente può determinare la componente nei limiti della riduzione attesa della quota variabile TVnd derivante dall’applicazione dei fattori di correzione adottati con la deliberazione 158/2020/R/RIF per le utenze non domestiche.  La valorizzazione della compente può avvenire solo nel caso in cui non siano state vincolate allo scopo specifiche risorse rese disponibili nel bilancio dello Stato o in quello di altri Enti territoriali.
 </t>
    </r>
    <r>
      <rPr>
        <i/>
        <sz val="11"/>
        <color theme="1"/>
        <rFont val="Arial Narrow"/>
        <family val="2"/>
      </rPr>
      <t>RCND</t>
    </r>
    <r>
      <rPr>
        <i/>
        <vertAlign val="subscript"/>
        <sz val="11"/>
        <color theme="1"/>
        <rFont val="Arial Narrow"/>
        <family val="2"/>
      </rPr>
      <t>TV</t>
    </r>
    <r>
      <rPr>
        <i/>
        <sz val="11"/>
        <color theme="1"/>
        <rFont val="Arial Narrow"/>
        <family val="2"/>
      </rPr>
      <t>/ r'</t>
    </r>
    <r>
      <rPr>
        <sz val="11"/>
        <color theme="1"/>
        <rFont val="Arial Narrow"/>
        <family val="2"/>
      </rPr>
      <t xml:space="preserve"> è la rata annuale per il recupero delle mancate entrate tariffarie, dove r’ rappresenta il numero di rate per il recupero della componente </t>
    </r>
    <r>
      <rPr>
        <i/>
        <sz val="11"/>
        <color theme="1"/>
        <rFont val="Arial Narrow"/>
        <family val="2"/>
      </rPr>
      <t xml:space="preserve"> RCND</t>
    </r>
    <r>
      <rPr>
        <i/>
        <vertAlign val="subscript"/>
        <sz val="11"/>
        <color theme="1"/>
        <rFont val="Arial Narrow"/>
        <family val="2"/>
      </rPr>
      <t>TV</t>
    </r>
    <r>
      <rPr>
        <sz val="11"/>
        <color theme="1"/>
        <rFont val="Arial Narrow"/>
        <family val="2"/>
      </rPr>
      <t xml:space="preserve">, determinato dall’Ente territorialmente competente fino a un massimo di 3.
</t>
    </r>
  </si>
  <si>
    <r>
      <t>Componente variabile RCU</t>
    </r>
    <r>
      <rPr>
        <vertAlign val="subscript"/>
        <sz val="11"/>
        <color theme="1"/>
        <rFont val="Arial Narrow"/>
        <family val="2"/>
      </rPr>
      <t>TV</t>
    </r>
  </si>
  <si>
    <r>
      <t>Componente fissa RCU</t>
    </r>
    <r>
      <rPr>
        <vertAlign val="subscript"/>
        <sz val="11"/>
        <color theme="1"/>
        <rFont val="Arial Narrow"/>
        <family val="2"/>
      </rPr>
      <t>TF</t>
    </r>
  </si>
  <si>
    <r>
      <t>RCU</t>
    </r>
    <r>
      <rPr>
        <b/>
        <vertAlign val="subscript"/>
        <sz val="11"/>
        <color theme="1"/>
        <rFont val="Arial Narrow"/>
        <family val="2"/>
      </rPr>
      <t>TV</t>
    </r>
  </si>
  <si>
    <r>
      <t>RCU</t>
    </r>
    <r>
      <rPr>
        <vertAlign val="subscript"/>
        <sz val="11"/>
        <color theme="1"/>
        <rFont val="Arial Narrow"/>
        <family val="2"/>
      </rPr>
      <t>TF</t>
    </r>
    <r>
      <rPr>
        <sz val="11"/>
        <color theme="1"/>
        <rFont val="Arial Narrow"/>
        <family val="2"/>
      </rPr>
      <t xml:space="preserve"> è la quota annuale del conguaglio relativo alla differenza tra i costi fissi determinati per l’anno 2019 (e sottostanti alle tariffe in deroga applicate sulla base di quanto disposto dall’articolo 107 comma 5 del decreto-legge 18/20) e i costi fissi risultanti dal PEF per l’anno 2020 approvato, entro il 31 dicembre 2020, in applicazione del MTR.</t>
    </r>
  </si>
  <si>
    <r>
      <t>RCU</t>
    </r>
    <r>
      <rPr>
        <vertAlign val="subscript"/>
        <sz val="11"/>
        <color theme="1"/>
        <rFont val="Arial Narrow"/>
        <family val="2"/>
      </rPr>
      <t>TV</t>
    </r>
    <r>
      <rPr>
        <sz val="11"/>
        <color theme="1"/>
        <rFont val="Arial Narrow"/>
        <family val="2"/>
      </rPr>
      <t xml:space="preserve"> è la quota annuale del conguaglio (recuperabile in tre anni) relativo alla differenza tra i costi variabili determinati per l’anno 2019 (e sottostanti alle tariffe in deroga applicate sulla base di quanto disposto dall’articolo 107 comma 5 del decreto-legge 18/20) e i costi variabili risultanti dal PEF per l’anno 2020 approvato, entro il 31 dicembre 2020, in applicazione del MTR.</t>
    </r>
  </si>
  <si>
    <r>
      <t>RCU</t>
    </r>
    <r>
      <rPr>
        <b/>
        <vertAlign val="subscript"/>
        <sz val="11"/>
        <color theme="1"/>
        <rFont val="Arial Narrow"/>
        <family val="2"/>
      </rPr>
      <t>TF</t>
    </r>
  </si>
  <si>
    <t>comma 2.3ter</t>
  </si>
  <si>
    <t>comma 2.2ter</t>
  </si>
  <si>
    <r>
      <t>Valorizzazione RCND</t>
    </r>
    <r>
      <rPr>
        <vertAlign val="subscript"/>
        <sz val="11"/>
        <color theme="1"/>
        <rFont val="Arial Narrow"/>
        <family val="2"/>
      </rPr>
      <t>TV</t>
    </r>
    <r>
      <rPr>
        <sz val="11"/>
        <color theme="1"/>
        <rFont val="Arial Narrow"/>
        <family val="2"/>
      </rPr>
      <t xml:space="preserve"> (art. 7 ter.2 del MTR)</t>
    </r>
  </si>
  <si>
    <t>La nuova regolazione sui rifiuti urbani. Guida alla predisposizione del PEF secondo il metodo tariffario ARERA</t>
  </si>
  <si>
    <t>https://www.fondazioneifel.it/documenti-e-pubblicazioni/item/download/4584_91d28fcadb334c18b6a2ecfac38e326e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</si>
</sst>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 #,##0.00\ _€_-;\-* #,##0.00\ _€_-;_-* &quot;-&quot;??\ _€_-;_-@_-"/>
    <numFmt numFmtId="165" formatCode="_-&quot;€&quot;\ * #,##0.00_-;\-&quot;€&quot;\ * #,##0.00_-;_-&quot;€&quot;\ * &quot;-&quot;??_-;_-@_-"/>
    <numFmt numFmtId="166" formatCode="#,##0;\-\ #,##0;\-"/>
    <numFmt numFmtId="167" formatCode="_-[$€]\ * #,##0.00_-;\-[$€]\ * #,##0.00_-;_-[$€]\ * &quot;-&quot;??_-;_-@_-"/>
    <numFmt numFmtId="168" formatCode="#,##0.0;\(#,##0.0\);\-"/>
    <numFmt numFmtId="169" formatCode="#,##0.000_);[Red]\(#,##0.000\)"/>
    <numFmt numFmtId="170" formatCode="_-[$€-2]\ * #,##0.00_-;\-[$€-2]\ * #,##0.00_-;_-[$€-2]\ * &quot;-&quot;??_-"/>
    <numFmt numFmtId="171" formatCode="_-* #,##0\ _k_r_-;\-* #,##0\ _k_r_-;_-* &quot;-&quot;\ _k_r_-;_-@_-"/>
    <numFmt numFmtId="172" formatCode="_-* #,##0.00\ _k_r_-;\-* #,##0.00\ _k_r_-;_-* &quot;-&quot;??\ _k_r_-;_-@_-"/>
    <numFmt numFmtId="173" formatCode="_(&quot;$&quot;* #,##0_);_(&quot;$&quot;* \(#,##0\);_(&quot;$&quot;* &quot;-&quot;_);_(@_)"/>
    <numFmt numFmtId="174" formatCode="_(&quot;$&quot;* #,##0.00_);_(&quot;$&quot;* \(#,##0.00\);_(&quot;$&quot;* &quot;-&quot;??_);_(@_)"/>
    <numFmt numFmtId="175" formatCode="_-* #,##0\ _F_-;\-* #,##0\ _F_-;_-* &quot;-&quot;\ _F_-;_-@_-"/>
    <numFmt numFmtId="176" formatCode="_-* #,##0.00\ _F_-;\-* #,##0.00\ _F_-;_-* &quot;-&quot;??\ _F_-;_-@_-"/>
    <numFmt numFmtId="177" formatCode="_(* #,##0.00_);_(* \(#,##0.00\);_(* &quot;-&quot;??_);_(@_)"/>
    <numFmt numFmtId="178" formatCode="#,##0_);[Red]\(#,##0\);&quot;-&quot;"/>
    <numFmt numFmtId="179" formatCode="0.00_)"/>
    <numFmt numFmtId="180" formatCode="#,##0\ ;[Red]\(#,##0\)"/>
    <numFmt numFmtId="181" formatCode="0\ %_);[Red]\(0\ %\)"/>
    <numFmt numFmtId="182" formatCode="_-* #,##0\ &quot;F&quot;_-;\-* #,##0\ &quot;F&quot;_-;_-* &quot;-&quot;\ &quot;F&quot;_-;_-@_-"/>
    <numFmt numFmtId="183" formatCode="_-&quot;L. &quot;* #,##0.00_-;&quot;-L. &quot;* #,##0.00_-;_-&quot;L. &quot;* \-??_-;_-@_-"/>
    <numFmt numFmtId="184" formatCode="_-* #,##0\ _€_-;\-* #,##0\ _€_-;_-* &quot;-&quot;??\ _€_-;_-@_-"/>
    <numFmt numFmtId="185" formatCode="_-* #,##0.0\ _€_-;\-* #,##0.0\ _€_-;_-* &quot;-&quot;??\ _€_-;_-@_-"/>
    <numFmt numFmtId="186" formatCode="#,##0_ ;\-#,##0\ "/>
    <numFmt numFmtId="187" formatCode="_-* #,##0_-;\-* #,##0_-;_-* &quot;-&quot;??_-;_-@_-"/>
    <numFmt numFmtId="188" formatCode="#,##0.00_ ;\-#,##0.00\ "/>
  </numFmts>
  <fonts count="152">
    <font>
      <sz val="11"/>
      <color theme="1"/>
      <name val="Calibri"/>
      <family val="2"/>
      <scheme val="minor"/>
    </font>
    <font>
      <sz val="12"/>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Calibri"/>
      <family val="2"/>
    </font>
    <font>
      <sz val="10"/>
      <name val="Arial"/>
      <family val="2"/>
    </font>
    <font>
      <sz val="11"/>
      <color indexed="8"/>
      <name val="Calibri"/>
      <family val="2"/>
    </font>
    <font>
      <sz val="11"/>
      <color indexed="9"/>
      <name val="Calibri"/>
      <family val="2"/>
    </font>
    <font>
      <sz val="11"/>
      <name val="Times New Roman"/>
      <family val="1"/>
    </font>
    <font>
      <sz val="11"/>
      <color indexed="10"/>
      <name val="Calibri"/>
      <family val="2"/>
    </font>
    <font>
      <sz val="11"/>
      <color indexed="20"/>
      <name val="Calibri"/>
      <family val="2"/>
    </font>
    <font>
      <sz val="8"/>
      <name val="Arial"/>
      <family val="2"/>
    </font>
    <font>
      <b/>
      <sz val="11"/>
      <color indexed="52"/>
      <name val="Calibri"/>
      <family val="2"/>
    </font>
    <font>
      <sz val="11"/>
      <color indexed="52"/>
      <name val="Calibri"/>
      <family val="2"/>
    </font>
    <font>
      <b/>
      <sz val="11"/>
      <color indexed="9"/>
      <name val="Calibri"/>
      <family val="2"/>
    </font>
    <font>
      <u/>
      <sz val="10"/>
      <color indexed="12"/>
      <name val="Arial"/>
      <family val="2"/>
    </font>
    <font>
      <u/>
      <sz val="11"/>
      <color theme="10"/>
      <name val="Calibri"/>
      <family val="2"/>
      <scheme val="minor"/>
    </font>
    <font>
      <u/>
      <sz val="10"/>
      <color theme="10"/>
      <name val="Arial"/>
      <family val="2"/>
    </font>
    <font>
      <b/>
      <sz val="10"/>
      <name val="MS Sans Serif"/>
      <family val="2"/>
    </font>
    <font>
      <sz val="20"/>
      <name val="Letter Gothic (W1)"/>
    </font>
    <font>
      <sz val="10"/>
      <name val="MS Serif"/>
      <family val="1"/>
    </font>
    <font>
      <sz val="12"/>
      <name val="Times New Roman"/>
      <family val="1"/>
    </font>
    <font>
      <sz val="10"/>
      <name val="MS Sans Serif"/>
      <family val="2"/>
    </font>
    <font>
      <sz val="10"/>
      <color indexed="16"/>
      <name val="MS Serif"/>
      <family val="1"/>
    </font>
    <font>
      <sz val="11"/>
      <color indexed="62"/>
      <name val="Calibri"/>
      <family val="2"/>
    </font>
    <font>
      <i/>
      <sz val="11"/>
      <color indexed="23"/>
      <name val="Calibri"/>
      <family val="2"/>
    </font>
    <font>
      <u/>
      <sz val="10"/>
      <color indexed="36"/>
      <name val="Arial"/>
      <family val="2"/>
    </font>
    <font>
      <u/>
      <sz val="7.5"/>
      <color indexed="36"/>
      <name val="Arial"/>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b/>
      <sz val="10"/>
      <name val="Helv"/>
    </font>
    <font>
      <sz val="7"/>
      <color indexed="8"/>
      <name val="Arial Narrow"/>
      <family val="2"/>
    </font>
    <font>
      <sz val="10"/>
      <name val="TradeGothic"/>
    </font>
    <font>
      <sz val="11"/>
      <color indexed="60"/>
      <name val="Calibri"/>
      <family val="2"/>
    </font>
    <font>
      <sz val="10"/>
      <name val="Times New Roman"/>
      <family val="1"/>
    </font>
    <font>
      <sz val="10"/>
      <name val="Courier"/>
      <family val="3"/>
    </font>
    <font>
      <b/>
      <i/>
      <sz val="16"/>
      <name val="Helv"/>
    </font>
    <font>
      <sz val="10"/>
      <color theme="1"/>
      <name val="Comic Sans MS"/>
      <family val="2"/>
    </font>
    <font>
      <sz val="7"/>
      <color theme="1"/>
      <name val="Arial Narrow"/>
      <family val="2"/>
    </font>
    <font>
      <sz val="10"/>
      <color indexed="8"/>
      <name val="Arial"/>
      <family val="2"/>
    </font>
    <font>
      <sz val="11"/>
      <name val="Calibri"/>
      <family val="2"/>
    </font>
    <font>
      <sz val="11"/>
      <color rgb="FF000000"/>
      <name val="Calibri"/>
      <family val="2"/>
      <charset val="1"/>
    </font>
    <font>
      <b/>
      <sz val="11"/>
      <color indexed="63"/>
      <name val="Calibri"/>
      <family val="2"/>
    </font>
    <font>
      <sz val="11"/>
      <name val="Book Antiqua"/>
      <family val="1"/>
    </font>
    <font>
      <b/>
      <sz val="8"/>
      <name val="Calibri"/>
      <family val="2"/>
    </font>
    <font>
      <sz val="9"/>
      <color indexed="8"/>
      <name val="Arial"/>
      <family val="2"/>
    </font>
    <font>
      <b/>
      <sz val="8"/>
      <name val="Helv"/>
    </font>
    <font>
      <sz val="8"/>
      <name val="Helv"/>
      <family val="2"/>
    </font>
    <font>
      <sz val="10"/>
      <color indexed="18"/>
      <name val="Arial"/>
      <family val="2"/>
    </font>
    <font>
      <b/>
      <sz val="16"/>
      <name val="Times New Roman"/>
      <family val="1"/>
    </font>
    <font>
      <b/>
      <sz val="8"/>
      <color indexed="8"/>
      <name val="Helv"/>
      <family val="2"/>
    </font>
    <font>
      <b/>
      <sz val="18"/>
      <color indexed="56"/>
      <name val="Cambria"/>
      <family val="2"/>
    </font>
    <font>
      <sz val="12"/>
      <name val="Tms Rmn"/>
    </font>
    <font>
      <b/>
      <sz val="11"/>
      <color indexed="8"/>
      <name val="Calibri"/>
      <family val="2"/>
    </font>
    <font>
      <sz val="10"/>
      <color theme="1"/>
      <name val="Roboto Lt"/>
      <family val="2"/>
    </font>
    <font>
      <u/>
      <sz val="11"/>
      <color theme="10"/>
      <name val="Calibri"/>
      <family val="2"/>
    </font>
    <font>
      <sz val="11"/>
      <color theme="1"/>
      <name val="Symbol"/>
      <family val="1"/>
      <charset val="2"/>
    </font>
    <font>
      <vertAlign val="subscript"/>
      <sz val="11"/>
      <color theme="1"/>
      <name val="Symbol"/>
      <family val="1"/>
      <charset val="2"/>
    </font>
    <font>
      <b/>
      <sz val="11"/>
      <color theme="1"/>
      <name val="Symbol"/>
      <family val="1"/>
      <charset val="2"/>
    </font>
    <font>
      <i/>
      <sz val="12"/>
      <color theme="1"/>
      <name val="Calibri"/>
      <family val="2"/>
      <scheme val="minor"/>
    </font>
    <font>
      <b/>
      <sz val="12"/>
      <color theme="1"/>
      <name val="Calibri"/>
      <family val="2"/>
      <scheme val="minor"/>
    </font>
    <font>
      <b/>
      <sz val="12"/>
      <color rgb="FF002060"/>
      <name val="Calibri"/>
      <family val="2"/>
      <scheme val="minor"/>
    </font>
    <font>
      <sz val="10"/>
      <color rgb="FF002060"/>
      <name val="Calibri"/>
      <family val="2"/>
      <scheme val="minor"/>
    </font>
    <font>
      <b/>
      <sz val="11"/>
      <color indexed="9"/>
      <name val="Calibri"/>
      <family val="2"/>
      <scheme val="minor"/>
    </font>
    <font>
      <sz val="11"/>
      <color theme="1"/>
      <name val="Arial Narrow"/>
      <family val="2"/>
    </font>
    <font>
      <b/>
      <sz val="14"/>
      <color theme="1"/>
      <name val="Arial Narrow"/>
      <family val="2"/>
    </font>
    <font>
      <i/>
      <sz val="11"/>
      <color rgb="FFFF0066"/>
      <name val="Arial Narrow"/>
      <family val="2"/>
    </font>
    <font>
      <sz val="11"/>
      <color rgb="FF9C0006"/>
      <name val="Arial Narrow"/>
      <family val="2"/>
    </font>
    <font>
      <b/>
      <sz val="11"/>
      <color theme="0"/>
      <name val="Arial Narrow"/>
      <family val="2"/>
    </font>
    <font>
      <b/>
      <sz val="11"/>
      <color theme="1"/>
      <name val="Arial Narrow"/>
      <family val="2"/>
    </font>
    <font>
      <vertAlign val="subscript"/>
      <sz val="11"/>
      <color theme="1"/>
      <name val="Arial Narrow"/>
      <family val="2"/>
    </font>
    <font>
      <b/>
      <sz val="16"/>
      <color rgb="FF002060"/>
      <name val="Arial Narrow"/>
      <family val="2"/>
    </font>
    <font>
      <i/>
      <sz val="11"/>
      <color theme="1"/>
      <name val="Arial Narrow"/>
      <family val="2"/>
    </font>
    <font>
      <b/>
      <sz val="14"/>
      <color theme="3" tint="-0.499984740745262"/>
      <name val="Arial Narrow"/>
      <family val="2"/>
    </font>
    <font>
      <b/>
      <sz val="11"/>
      <color theme="3" tint="-0.499984740745262"/>
      <name val="Arial Narrow"/>
      <family val="2"/>
    </font>
    <font>
      <sz val="16"/>
      <name val="Calibri"/>
      <family val="2"/>
      <scheme val="minor"/>
    </font>
    <font>
      <b/>
      <sz val="14"/>
      <name val="Calibri"/>
      <family val="2"/>
      <scheme val="minor"/>
    </font>
    <font>
      <sz val="11"/>
      <name val="Calibri"/>
      <family val="2"/>
      <scheme val="minor"/>
    </font>
    <font>
      <sz val="12"/>
      <color theme="1"/>
      <name val="Calibri"/>
      <family val="2"/>
      <scheme val="minor"/>
    </font>
    <font>
      <b/>
      <sz val="12"/>
      <color theme="3" tint="-0.499984740745262"/>
      <name val="Calibri"/>
      <family val="2"/>
      <scheme val="minor"/>
    </font>
    <font>
      <sz val="12"/>
      <color theme="3" tint="-0.499984740745262"/>
      <name val="Calibri"/>
      <family val="2"/>
      <scheme val="minor"/>
    </font>
    <font>
      <b/>
      <sz val="16"/>
      <color rgb="FF0070C0"/>
      <name val="Calibri"/>
      <family val="2"/>
      <scheme val="minor"/>
    </font>
    <font>
      <b/>
      <sz val="12"/>
      <color rgb="FF0070C0"/>
      <name val="Calibri"/>
      <family val="2"/>
      <scheme val="minor"/>
    </font>
    <font>
      <sz val="12"/>
      <color rgb="FFFF0000"/>
      <name val="Calibri"/>
      <family val="2"/>
      <scheme val="minor"/>
    </font>
    <font>
      <sz val="8"/>
      <name val="Calibri"/>
      <family val="2"/>
      <scheme val="minor"/>
    </font>
    <font>
      <b/>
      <sz val="12"/>
      <name val="Calibri"/>
      <family val="2"/>
      <scheme val="minor"/>
    </font>
    <font>
      <b/>
      <vertAlign val="subscript"/>
      <sz val="12"/>
      <color theme="1"/>
      <name val="Calibri"/>
      <family val="2"/>
      <scheme val="minor"/>
    </font>
    <font>
      <b/>
      <i/>
      <sz val="12"/>
      <color theme="1"/>
      <name val="Calibri"/>
      <family val="2"/>
      <scheme val="minor"/>
    </font>
    <font>
      <b/>
      <i/>
      <vertAlign val="subscript"/>
      <sz val="12"/>
      <color theme="1"/>
      <name val="Calibri"/>
      <family val="2"/>
      <scheme val="minor"/>
    </font>
    <font>
      <b/>
      <sz val="12"/>
      <color theme="1"/>
      <name val="Arial"/>
      <family val="2"/>
    </font>
    <font>
      <b/>
      <sz val="12"/>
      <color rgb="FFC00000"/>
      <name val="Calibri"/>
      <family val="2"/>
      <scheme val="minor"/>
    </font>
    <font>
      <b/>
      <sz val="14"/>
      <color theme="1"/>
      <name val="Arial"/>
      <family val="2"/>
    </font>
    <font>
      <i/>
      <vertAlign val="subscript"/>
      <sz val="12"/>
      <color theme="1"/>
      <name val="Calibri"/>
      <family val="2"/>
      <scheme val="minor"/>
    </font>
    <font>
      <b/>
      <sz val="11"/>
      <color rgb="FFC00000"/>
      <name val="Calibri"/>
      <family val="2"/>
      <scheme val="minor"/>
    </font>
    <font>
      <i/>
      <sz val="11"/>
      <color rgb="FFFF0066"/>
      <name val="Calibri"/>
      <family val="2"/>
      <scheme val="minor"/>
    </font>
    <font>
      <sz val="11"/>
      <color theme="0"/>
      <name val="Calibri"/>
      <family val="2"/>
    </font>
    <font>
      <b/>
      <sz val="9"/>
      <color rgb="FFFF0066"/>
      <name val="Arial Narrow"/>
      <family val="2"/>
    </font>
    <font>
      <b/>
      <sz val="14"/>
      <color rgb="FFC00000"/>
      <name val="Calibri"/>
      <family val="2"/>
      <scheme val="minor"/>
    </font>
    <font>
      <sz val="12"/>
      <name val="Calibri"/>
      <family val="2"/>
      <scheme val="minor"/>
    </font>
    <font>
      <b/>
      <sz val="9"/>
      <color theme="1"/>
      <name val="Arial Narrow"/>
      <family val="2"/>
    </font>
    <font>
      <b/>
      <sz val="12"/>
      <color theme="1"/>
      <name val="Arial Narrow"/>
      <family val="2"/>
    </font>
    <font>
      <sz val="11"/>
      <color theme="4"/>
      <name val="Arial Narrow"/>
      <family val="2"/>
    </font>
    <font>
      <u/>
      <sz val="11"/>
      <color theme="1"/>
      <name val="Arial Narrow"/>
      <family val="2"/>
    </font>
    <font>
      <b/>
      <sz val="8"/>
      <color theme="1"/>
      <name val="Arial Narrow"/>
      <family val="2"/>
    </font>
    <font>
      <b/>
      <vertAlign val="superscript"/>
      <sz val="11"/>
      <color theme="1"/>
      <name val="Arial Narrow"/>
      <family val="2"/>
    </font>
    <font>
      <b/>
      <vertAlign val="subscript"/>
      <sz val="11"/>
      <color theme="1"/>
      <name val="Arial Narrow"/>
      <family val="2"/>
    </font>
    <font>
      <sz val="12"/>
      <color theme="1"/>
      <name val="Arial Narrow"/>
      <family val="2"/>
    </font>
    <font>
      <vertAlign val="superscript"/>
      <sz val="12"/>
      <color theme="1"/>
      <name val="Arial Narrow"/>
      <family val="2"/>
    </font>
    <font>
      <vertAlign val="subscript"/>
      <sz val="12"/>
      <color theme="1"/>
      <name val="Arial Narrow"/>
      <family val="2"/>
    </font>
    <font>
      <vertAlign val="superscript"/>
      <sz val="11"/>
      <color theme="1"/>
      <name val="Arial Narrow"/>
      <family val="2"/>
    </font>
    <font>
      <sz val="11"/>
      <name val="Arial Narrow"/>
      <family val="2"/>
    </font>
    <font>
      <sz val="11"/>
      <color theme="1"/>
      <name val="Arial Narrow"/>
      <family val="1"/>
      <charset val="2"/>
    </font>
    <font>
      <b/>
      <sz val="11"/>
      <name val="Calibri"/>
      <family val="2"/>
      <scheme val="minor"/>
    </font>
    <font>
      <b/>
      <i/>
      <vertAlign val="superscript"/>
      <sz val="12"/>
      <color theme="1"/>
      <name val="Calibri"/>
      <family val="2"/>
      <scheme val="minor"/>
    </font>
    <font>
      <b/>
      <i/>
      <sz val="12"/>
      <color theme="1"/>
      <name val="Calibri"/>
      <family val="2"/>
    </font>
    <font>
      <sz val="9"/>
      <color theme="1"/>
      <name val="Calibri"/>
      <family val="2"/>
      <scheme val="minor"/>
    </font>
    <font>
      <b/>
      <vertAlign val="subscript"/>
      <sz val="12"/>
      <name val="Calibri"/>
      <family val="2"/>
      <scheme val="minor"/>
    </font>
    <font>
      <b/>
      <i/>
      <sz val="12"/>
      <name val="Calibri"/>
      <family val="2"/>
      <scheme val="minor"/>
    </font>
    <font>
      <vertAlign val="subscript"/>
      <sz val="12"/>
      <name val="Calibri"/>
      <family val="2"/>
      <scheme val="minor"/>
    </font>
    <font>
      <b/>
      <i/>
      <vertAlign val="subscript"/>
      <sz val="12"/>
      <name val="Calibri"/>
      <family val="2"/>
      <scheme val="minor"/>
    </font>
    <font>
      <i/>
      <sz val="12"/>
      <name val="Calibri"/>
      <family val="2"/>
      <scheme val="minor"/>
    </font>
    <font>
      <i/>
      <sz val="10"/>
      <name val="Calibri"/>
      <family val="2"/>
      <scheme val="minor"/>
    </font>
    <font>
      <i/>
      <vertAlign val="subscript"/>
      <sz val="10"/>
      <name val="Calibri"/>
      <family val="2"/>
      <scheme val="minor"/>
    </font>
    <font>
      <b/>
      <sz val="10"/>
      <color theme="1"/>
      <name val="Calibri"/>
      <family val="2"/>
      <scheme val="minor"/>
    </font>
    <font>
      <b/>
      <sz val="9"/>
      <color theme="1"/>
      <name val="Calibri"/>
      <family val="2"/>
      <scheme val="minor"/>
    </font>
    <font>
      <b/>
      <i/>
      <vertAlign val="superscript"/>
      <sz val="12"/>
      <name val="Calibri"/>
      <family val="2"/>
      <scheme val="minor"/>
    </font>
    <font>
      <b/>
      <i/>
      <sz val="12"/>
      <color theme="1"/>
      <name val="Symbol"/>
      <family val="1"/>
      <charset val="2"/>
    </font>
    <font>
      <b/>
      <i/>
      <sz val="12"/>
      <color theme="1"/>
      <name val="Arial"/>
      <family val="2"/>
    </font>
    <font>
      <b/>
      <i/>
      <sz val="14"/>
      <color rgb="FFC00000"/>
      <name val="Calibri"/>
      <family val="2"/>
      <scheme val="minor"/>
    </font>
    <font>
      <b/>
      <i/>
      <sz val="9"/>
      <color rgb="FFC00000"/>
      <name val="Calibri"/>
      <family val="2"/>
      <scheme val="minor"/>
    </font>
    <font>
      <sz val="10"/>
      <color theme="1"/>
      <name val="Calibri"/>
      <family val="2"/>
      <scheme val="minor"/>
    </font>
    <font>
      <i/>
      <vertAlign val="subscript"/>
      <sz val="11"/>
      <color theme="1"/>
      <name val="Arial Narrow"/>
      <family val="2"/>
    </font>
    <font>
      <b/>
      <sz val="9"/>
      <color rgb="FF000000"/>
      <name val="Tahoma"/>
      <family val="2"/>
    </font>
    <font>
      <sz val="9"/>
      <color rgb="FF000000"/>
      <name val="Tahoma"/>
      <family val="2"/>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11"/>
        <bgColor indexed="40"/>
      </patternFill>
    </fill>
    <fill>
      <patternFill patternType="solid">
        <fgColor indexed="18"/>
        <bgColor indexed="32"/>
      </patternFill>
    </fill>
    <fill>
      <patternFill patternType="solid">
        <fgColor indexed="15"/>
        <bgColor indexed="35"/>
      </patternFill>
    </fill>
    <fill>
      <patternFill patternType="solid">
        <fgColor indexed="21"/>
        <bgColor indexed="38"/>
      </patternFill>
    </fill>
    <fill>
      <patternFill patternType="solid">
        <fgColor indexed="40"/>
        <bgColor indexed="49"/>
      </patternFill>
    </fill>
    <fill>
      <patternFill patternType="solid">
        <fgColor indexed="10"/>
        <bgColor indexed="16"/>
      </patternFill>
    </fill>
    <fill>
      <patternFill patternType="solid">
        <fgColor indexed="16"/>
        <bgColor indexed="10"/>
      </patternFill>
    </fill>
    <fill>
      <patternFill patternType="solid">
        <fgColor theme="0"/>
        <bgColor indexed="64"/>
      </patternFill>
    </fill>
    <fill>
      <patternFill patternType="solid">
        <fgColor indexed="24"/>
      </patternFill>
    </fill>
    <fill>
      <patternFill patternType="solid">
        <fgColor indexed="37"/>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gray125">
        <bgColor theme="0"/>
      </patternFill>
    </fill>
    <fill>
      <patternFill patternType="solid">
        <fgColor theme="2" tint="-9.9978637043366805E-2"/>
        <bgColor indexed="64"/>
      </patternFill>
    </fill>
    <fill>
      <patternFill patternType="solid">
        <fgColor rgb="FF02A78C"/>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C7CE"/>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CC"/>
        <bgColor indexed="64"/>
      </patternFill>
    </fill>
    <fill>
      <patternFill patternType="solid">
        <fgColor rgb="FFAFFFAF"/>
        <bgColor indexed="64"/>
      </patternFill>
    </fill>
    <fill>
      <patternFill patternType="solid">
        <fgColor theme="1" tint="0.499984740745262"/>
        <bgColor indexed="64"/>
      </patternFill>
    </fill>
    <fill>
      <patternFill patternType="solid">
        <fgColor rgb="FFFFDDE1"/>
        <bgColor indexed="64"/>
      </patternFill>
    </fill>
  </fills>
  <borders count="1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double">
        <color indexed="56"/>
      </left>
      <right style="thin">
        <color indexed="64"/>
      </right>
      <top style="thin">
        <color indexed="64"/>
      </top>
      <bottom style="dotted">
        <color indexed="56"/>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auto="1"/>
      </bottom>
      <diagonal/>
    </border>
    <border>
      <left style="double">
        <color indexed="56"/>
      </left>
      <right style="thin">
        <color indexed="64"/>
      </right>
      <top style="thin">
        <color indexed="64"/>
      </top>
      <bottom style="dotted">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style="medium">
        <color indexed="64"/>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diagonal/>
    </border>
    <border>
      <left/>
      <right style="double">
        <color theme="4" tint="-0.24994659260841701"/>
      </right>
      <top/>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right style="double">
        <color theme="4" tint="-0.24994659260841701"/>
      </right>
      <top/>
      <bottom style="double">
        <color theme="4"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medium">
        <color indexed="64"/>
      </right>
      <top/>
      <bottom style="dashed">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theme="3"/>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theme="3"/>
      </right>
      <top style="thin">
        <color indexed="64"/>
      </top>
      <bottom style="thin">
        <color indexed="64"/>
      </bottom>
      <diagonal/>
    </border>
  </borders>
  <cellStyleXfs count="810">
    <xf numFmtId="0" fontId="0" fillId="0" borderId="0"/>
    <xf numFmtId="166" fontId="18" fillId="33" borderId="9" applyFont="0" applyFill="0" applyBorder="0" applyAlignment="0" applyProtection="0">
      <alignment horizontal="right" vertical="center"/>
      <protection locked="0"/>
    </xf>
    <xf numFmtId="167" fontId="19" fillId="0" borderId="0"/>
    <xf numFmtId="167" fontId="19" fillId="0" borderId="0"/>
    <xf numFmtId="167" fontId="19" fillId="0" borderId="0"/>
    <xf numFmtId="167" fontId="19" fillId="0" borderId="0"/>
    <xf numFmtId="0" fontId="19" fillId="0" borderId="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167" fontId="20" fillId="34" borderId="0" applyNumberFormat="0" applyBorder="0" applyAlignment="0" applyProtection="0"/>
    <xf numFmtId="167" fontId="20" fillId="35" borderId="0" applyNumberFormat="0" applyBorder="0" applyAlignment="0" applyProtection="0"/>
    <xf numFmtId="167" fontId="20" fillId="36" borderId="0" applyNumberFormat="0" applyBorder="0" applyAlignment="0" applyProtection="0"/>
    <xf numFmtId="167" fontId="20" fillId="37" borderId="0" applyNumberFormat="0" applyBorder="0" applyAlignment="0" applyProtection="0"/>
    <xf numFmtId="167" fontId="20" fillId="38" borderId="0" applyNumberFormat="0" applyBorder="0" applyAlignment="0" applyProtection="0"/>
    <xf numFmtId="167" fontId="20" fillId="3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167" fontId="2" fillId="9" borderId="0" applyNumberFormat="0" applyBorder="0" applyAlignment="0" applyProtection="0"/>
    <xf numFmtId="0" fontId="20" fillId="34"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167" fontId="2" fillId="13" borderId="0" applyNumberFormat="0" applyBorder="0" applyAlignment="0" applyProtection="0"/>
    <xf numFmtId="0" fontId="20" fillId="35"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167" fontId="2" fillId="17" borderId="0" applyNumberFormat="0" applyBorder="0" applyAlignment="0" applyProtection="0"/>
    <xf numFmtId="0" fontId="20" fillId="36"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167" fontId="2" fillId="21" borderId="0" applyNumberFormat="0" applyBorder="0" applyAlignment="0" applyProtection="0"/>
    <xf numFmtId="0" fontId="20" fillId="37"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167" fontId="2" fillId="25" borderId="0" applyNumberFormat="0" applyBorder="0" applyAlignment="0" applyProtection="0"/>
    <xf numFmtId="0" fontId="20" fillId="38"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167" fontId="2" fillId="29"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43" borderId="0" applyNumberFormat="0" applyBorder="0" applyAlignment="0" applyProtection="0"/>
    <xf numFmtId="167" fontId="20" fillId="40" borderId="0" applyNumberFormat="0" applyBorder="0" applyAlignment="0" applyProtection="0"/>
    <xf numFmtId="167" fontId="20" fillId="41" borderId="0" applyNumberFormat="0" applyBorder="0" applyAlignment="0" applyProtection="0"/>
    <xf numFmtId="167" fontId="20" fillId="42" borderId="0" applyNumberFormat="0" applyBorder="0" applyAlignment="0" applyProtection="0"/>
    <xf numFmtId="167" fontId="20" fillId="37" borderId="0" applyNumberFormat="0" applyBorder="0" applyAlignment="0" applyProtection="0"/>
    <xf numFmtId="167" fontId="20" fillId="40" borderId="0" applyNumberFormat="0" applyBorder="0" applyAlignment="0" applyProtection="0"/>
    <xf numFmtId="167" fontId="20" fillId="43"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167" fontId="2" fillId="10" borderId="0" applyNumberFormat="0" applyBorder="0" applyAlignment="0" applyProtection="0"/>
    <xf numFmtId="0" fontId="20" fillId="40"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167" fontId="2" fillId="14" borderId="0" applyNumberFormat="0" applyBorder="0" applyAlignment="0" applyProtection="0"/>
    <xf numFmtId="0" fontId="20" fillId="41"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167" fontId="2" fillId="18" borderId="0" applyNumberFormat="0" applyBorder="0" applyAlignment="0" applyProtection="0"/>
    <xf numFmtId="0" fontId="20" fillId="4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167" fontId="2" fillId="22" borderId="0" applyNumberFormat="0" applyBorder="0" applyAlignment="0" applyProtection="0"/>
    <xf numFmtId="0" fontId="20" fillId="37"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167" fontId="2" fillId="26" borderId="0" applyNumberFormat="0" applyBorder="0" applyAlignment="0" applyProtection="0"/>
    <xf numFmtId="0" fontId="20" fillId="4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167" fontId="2" fillId="30" borderId="0" applyNumberFormat="0" applyBorder="0" applyAlignment="0" applyProtection="0"/>
    <xf numFmtId="0" fontId="20" fillId="43" borderId="0" applyNumberFormat="0" applyBorder="0" applyAlignment="0" applyProtection="0"/>
    <xf numFmtId="0" fontId="21" fillId="44"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167" fontId="21" fillId="44" borderId="0" applyNumberFormat="0" applyBorder="0" applyAlignment="0" applyProtection="0"/>
    <xf numFmtId="167" fontId="21" fillId="41" borderId="0" applyNumberFormat="0" applyBorder="0" applyAlignment="0" applyProtection="0"/>
    <xf numFmtId="167" fontId="21" fillId="42" borderId="0" applyNumberFormat="0" applyBorder="0" applyAlignment="0" applyProtection="0"/>
    <xf numFmtId="167" fontId="21" fillId="45" borderId="0" applyNumberFormat="0" applyBorder="0" applyAlignment="0" applyProtection="0"/>
    <xf numFmtId="167" fontId="21" fillId="46" borderId="0" applyNumberFormat="0" applyBorder="0" applyAlignment="0" applyProtection="0"/>
    <xf numFmtId="167" fontId="21" fillId="47" borderId="0" applyNumberFormat="0" applyBorder="0" applyAlignment="0" applyProtection="0"/>
    <xf numFmtId="167" fontId="17" fillId="11" borderId="0" applyNumberFormat="0" applyBorder="0" applyAlignment="0" applyProtection="0"/>
    <xf numFmtId="167" fontId="17" fillId="11" borderId="0" applyNumberFormat="0" applyBorder="0" applyAlignment="0" applyProtection="0"/>
    <xf numFmtId="0" fontId="21" fillId="44" borderId="0" applyNumberFormat="0" applyBorder="0" applyAlignment="0" applyProtection="0"/>
    <xf numFmtId="167" fontId="17" fillId="15" borderId="0" applyNumberFormat="0" applyBorder="0" applyAlignment="0" applyProtection="0"/>
    <xf numFmtId="167" fontId="17" fillId="15" borderId="0" applyNumberFormat="0" applyBorder="0" applyAlignment="0" applyProtection="0"/>
    <xf numFmtId="0" fontId="21" fillId="41" borderId="0" applyNumberFormat="0" applyBorder="0" applyAlignment="0" applyProtection="0"/>
    <xf numFmtId="167" fontId="17" fillId="19" borderId="0" applyNumberFormat="0" applyBorder="0" applyAlignment="0" applyProtection="0"/>
    <xf numFmtId="167" fontId="17" fillId="19" borderId="0" applyNumberFormat="0" applyBorder="0" applyAlignment="0" applyProtection="0"/>
    <xf numFmtId="0" fontId="21" fillId="42" borderId="0" applyNumberFormat="0" applyBorder="0" applyAlignment="0" applyProtection="0"/>
    <xf numFmtId="167" fontId="17" fillId="23" borderId="0" applyNumberFormat="0" applyBorder="0" applyAlignment="0" applyProtection="0"/>
    <xf numFmtId="167" fontId="17" fillId="23" borderId="0" applyNumberFormat="0" applyBorder="0" applyAlignment="0" applyProtection="0"/>
    <xf numFmtId="0" fontId="21" fillId="45" borderId="0" applyNumberFormat="0" applyBorder="0" applyAlignment="0" applyProtection="0"/>
    <xf numFmtId="167" fontId="17" fillId="27" borderId="0" applyNumberFormat="0" applyBorder="0" applyAlignment="0" applyProtection="0"/>
    <xf numFmtId="167" fontId="17" fillId="27" borderId="0" applyNumberFormat="0" applyBorder="0" applyAlignment="0" applyProtection="0"/>
    <xf numFmtId="0" fontId="21" fillId="46" borderId="0" applyNumberFormat="0" applyBorder="0" applyAlignment="0" applyProtection="0"/>
    <xf numFmtId="167" fontId="17" fillId="31" borderId="0" applyNumberFormat="0" applyBorder="0" applyAlignment="0" applyProtection="0"/>
    <xf numFmtId="167" fontId="17" fillId="31" borderId="0" applyNumberFormat="0" applyBorder="0" applyAlignment="0" applyProtection="0"/>
    <xf numFmtId="0" fontId="21" fillId="47"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0" fontId="21" fillId="48"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0" fontId="21" fillId="49" borderId="0" applyNumberFormat="0" applyBorder="0" applyAlignment="0" applyProtection="0"/>
    <xf numFmtId="167" fontId="21" fillId="50" borderId="0" applyNumberFormat="0" applyBorder="0" applyAlignment="0" applyProtection="0"/>
    <xf numFmtId="167" fontId="21" fillId="50" borderId="0" applyNumberFormat="0" applyBorder="0" applyAlignment="0" applyProtection="0"/>
    <xf numFmtId="0" fontId="21" fillId="50" borderId="0" applyNumberFormat="0" applyBorder="0" applyAlignment="0" applyProtection="0"/>
    <xf numFmtId="167" fontId="21" fillId="45" borderId="0" applyNumberFormat="0" applyBorder="0" applyAlignment="0" applyProtection="0"/>
    <xf numFmtId="167" fontId="21" fillId="45" borderId="0" applyNumberFormat="0" applyBorder="0" applyAlignment="0" applyProtection="0"/>
    <xf numFmtId="0" fontId="21" fillId="45" borderId="0" applyNumberFormat="0" applyBorder="0" applyAlignment="0" applyProtection="0"/>
    <xf numFmtId="167" fontId="21" fillId="46" borderId="0" applyNumberFormat="0" applyBorder="0" applyAlignment="0" applyProtection="0"/>
    <xf numFmtId="167" fontId="21" fillId="46" borderId="0" applyNumberFormat="0" applyBorder="0" applyAlignment="0" applyProtection="0"/>
    <xf numFmtId="0" fontId="21" fillId="46" borderId="0" applyNumberFormat="0" applyBorder="0" applyAlignment="0" applyProtection="0"/>
    <xf numFmtId="167" fontId="21" fillId="51" borderId="0" applyNumberFormat="0" applyBorder="0" applyAlignment="0" applyProtection="0"/>
    <xf numFmtId="167" fontId="21" fillId="51" borderId="0" applyNumberFormat="0" applyBorder="0" applyAlignment="0" applyProtection="0"/>
    <xf numFmtId="0" fontId="21" fillId="51" borderId="0" applyNumberFormat="0" applyBorder="0" applyAlignment="0" applyProtection="0"/>
    <xf numFmtId="168" fontId="22" fillId="0" borderId="0"/>
    <xf numFmtId="0" fontId="23" fillId="0" borderId="0" applyNumberFormat="0" applyFill="0" applyBorder="0" applyAlignment="0" applyProtection="0"/>
    <xf numFmtId="167" fontId="24" fillId="35" borderId="0" applyNumberFormat="0" applyBorder="0" applyAlignment="0" applyProtection="0"/>
    <xf numFmtId="169" fontId="25" fillId="0" borderId="0" applyFill="0" applyBorder="0" applyAlignment="0"/>
    <xf numFmtId="167" fontId="11" fillId="6" borderId="4" applyNumberFormat="0" applyAlignment="0" applyProtection="0"/>
    <xf numFmtId="167" fontId="11" fillId="6" borderId="4" applyNumberFormat="0" applyAlignment="0" applyProtection="0"/>
    <xf numFmtId="0" fontId="26" fillId="52" borderId="10" applyNumberFormat="0" applyAlignment="0" applyProtection="0"/>
    <xf numFmtId="0" fontId="26" fillId="52" borderId="10" applyNumberFormat="0" applyAlignment="0" applyProtection="0"/>
    <xf numFmtId="167" fontId="26" fillId="52" borderId="10" applyNumberFormat="0" applyAlignment="0" applyProtection="0"/>
    <xf numFmtId="164" fontId="19" fillId="0" borderId="0" applyFont="0" applyFill="0" applyBorder="0" applyAlignment="0" applyProtection="0"/>
    <xf numFmtId="167" fontId="12" fillId="0" borderId="6" applyNumberFormat="0" applyFill="0" applyAlignment="0" applyProtection="0"/>
    <xf numFmtId="167" fontId="12" fillId="0" borderId="6" applyNumberFormat="0" applyFill="0" applyAlignment="0" applyProtection="0"/>
    <xf numFmtId="0" fontId="27" fillId="0" borderId="11" applyNumberFormat="0" applyFill="0" applyAlignment="0" applyProtection="0"/>
    <xf numFmtId="167" fontId="13" fillId="7" borderId="7" applyNumberFormat="0" applyAlignment="0" applyProtection="0"/>
    <xf numFmtId="167" fontId="13" fillId="7" borderId="7" applyNumberFormat="0" applyAlignment="0" applyProtection="0"/>
    <xf numFmtId="0" fontId="28" fillId="53" borderId="12" applyNumberFormat="0" applyAlignment="0" applyProtection="0"/>
    <xf numFmtId="0" fontId="27" fillId="0" borderId="11" applyNumberFormat="0" applyFill="0" applyAlignment="0" applyProtection="0"/>
    <xf numFmtId="167" fontId="28" fillId="53" borderId="12" applyNumberFormat="0" applyAlignment="0" applyProtection="0"/>
    <xf numFmtId="167"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167" fontId="30" fillId="0" borderId="0" applyNumberFormat="0" applyFill="0" applyBorder="0" applyAlignment="0" applyProtection="0"/>
    <xf numFmtId="0" fontId="31" fillId="0" borderId="0" applyNumberFormat="0" applyFill="0" applyBorder="0" applyAlignment="0" applyProtection="0"/>
    <xf numFmtId="170" fontId="32" fillId="0" borderId="0" applyNumberFormat="0" applyFill="0" applyBorder="0" applyAlignment="0" applyProtection="0"/>
    <xf numFmtId="167" fontId="17" fillId="8" borderId="0" applyNumberFormat="0" applyBorder="0" applyAlignment="0" applyProtection="0"/>
    <xf numFmtId="167" fontId="17" fillId="8" borderId="0" applyNumberFormat="0" applyBorder="0" applyAlignment="0" applyProtection="0"/>
    <xf numFmtId="0" fontId="21" fillId="48" borderId="0" applyNumberFormat="0" applyBorder="0" applyAlignment="0" applyProtection="0"/>
    <xf numFmtId="167" fontId="17" fillId="12" borderId="0" applyNumberFormat="0" applyBorder="0" applyAlignment="0" applyProtection="0"/>
    <xf numFmtId="167" fontId="17" fillId="12" borderId="0" applyNumberFormat="0" applyBorder="0" applyAlignment="0" applyProtection="0"/>
    <xf numFmtId="0" fontId="21" fillId="49" borderId="0" applyNumberFormat="0" applyBorder="0" applyAlignment="0" applyProtection="0"/>
    <xf numFmtId="167" fontId="17" fillId="16" borderId="0" applyNumberFormat="0" applyBorder="0" applyAlignment="0" applyProtection="0"/>
    <xf numFmtId="167" fontId="17" fillId="16" borderId="0" applyNumberFormat="0" applyBorder="0" applyAlignment="0" applyProtection="0"/>
    <xf numFmtId="0" fontId="21" fillId="50" borderId="0" applyNumberFormat="0" applyBorder="0" applyAlignment="0" applyProtection="0"/>
    <xf numFmtId="167" fontId="17" fillId="20" borderId="0" applyNumberFormat="0" applyBorder="0" applyAlignment="0" applyProtection="0"/>
    <xf numFmtId="167" fontId="17" fillId="20" borderId="0" applyNumberFormat="0" applyBorder="0" applyAlignment="0" applyProtection="0"/>
    <xf numFmtId="0" fontId="21" fillId="45" borderId="0" applyNumberFormat="0" applyBorder="0" applyAlignment="0" applyProtection="0"/>
    <xf numFmtId="167" fontId="17" fillId="24" borderId="0" applyNumberFormat="0" applyBorder="0" applyAlignment="0" applyProtection="0"/>
    <xf numFmtId="167" fontId="17" fillId="24" borderId="0" applyNumberFormat="0" applyBorder="0" applyAlignment="0" applyProtection="0"/>
    <xf numFmtId="0" fontId="21" fillId="46" borderId="0" applyNumberFormat="0" applyBorder="0" applyAlignment="0" applyProtection="0"/>
    <xf numFmtId="167" fontId="17" fillId="28" borderId="0" applyNumberFormat="0" applyBorder="0" applyAlignment="0" applyProtection="0"/>
    <xf numFmtId="167" fontId="17" fillId="28" borderId="0" applyNumberFormat="0" applyBorder="0" applyAlignment="0" applyProtection="0"/>
    <xf numFmtId="0" fontId="21" fillId="51" borderId="0" applyNumberFormat="0" applyBorder="0" applyAlignment="0" applyProtection="0"/>
    <xf numFmtId="171" fontId="33" fillId="0" borderId="0" applyFont="0" applyFill="0" applyBorder="0" applyAlignment="0" applyProtection="0"/>
    <xf numFmtId="172" fontId="33" fillId="0" borderId="0" applyFont="0" applyFill="0" applyBorder="0" applyAlignment="0" applyProtection="0"/>
    <xf numFmtId="0" fontId="20" fillId="54" borderId="13" applyNumberFormat="0" applyFont="0" applyAlignment="0" applyProtection="0"/>
    <xf numFmtId="0" fontId="34" fillId="0" borderId="0" applyNumberFormat="0" applyAlignment="0">
      <alignment horizontal="left"/>
    </xf>
    <xf numFmtId="0" fontId="35" fillId="0" borderId="0">
      <alignment vertical="center"/>
    </xf>
    <xf numFmtId="0" fontId="35" fillId="0" borderId="0">
      <alignment vertical="center"/>
    </xf>
    <xf numFmtId="173" fontId="33" fillId="0" borderId="0" applyFont="0" applyFill="0" applyBorder="0" applyAlignment="0" applyProtection="0"/>
    <xf numFmtId="0" fontId="35" fillId="0" borderId="0" applyFill="0" applyBorder="0" applyProtection="0">
      <alignment vertical="center"/>
    </xf>
    <xf numFmtId="174" fontId="33" fillId="0" borderId="0" applyFont="0" applyFill="0" applyBorder="0" applyAlignment="0" applyProtection="0"/>
    <xf numFmtId="0" fontId="35" fillId="0" borderId="0" applyFill="0" applyBorder="0" applyProtection="0">
      <alignment vertical="center"/>
    </xf>
    <xf numFmtId="0" fontId="35" fillId="0" borderId="0" applyFill="0" applyBorder="0" applyProtection="0">
      <alignment vertical="center"/>
    </xf>
    <xf numFmtId="0" fontId="35" fillId="0" borderId="0">
      <alignment vertical="center"/>
    </xf>
    <xf numFmtId="15" fontId="36" fillId="0" borderId="0"/>
    <xf numFmtId="164" fontId="19" fillId="0" borderId="0" applyFont="0" applyFill="0" applyBorder="0" applyAlignment="0" applyProtection="0"/>
    <xf numFmtId="0" fontId="37" fillId="0" borderId="0" applyNumberFormat="0" applyAlignment="0">
      <alignment horizontal="left"/>
    </xf>
    <xf numFmtId="0" fontId="38" fillId="39" borderId="10" applyNumberFormat="0" applyAlignment="0" applyProtection="0"/>
    <xf numFmtId="170"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0" fontId="19" fillId="0" borderId="0" applyFont="0" applyFill="0" applyBorder="0" applyAlignment="0" applyProtection="0"/>
    <xf numFmtId="167" fontId="19" fillId="0" borderId="0" applyFont="0" applyFill="0" applyBorder="0" applyAlignment="0" applyProtection="0"/>
    <xf numFmtId="170"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0" fontId="19" fillId="0" borderId="0" applyFont="0" applyFill="0" applyBorder="0" applyAlignment="0" applyProtection="0"/>
    <xf numFmtId="165" fontId="19" fillId="0" borderId="0" applyFont="0" applyFill="0" applyBorder="0" applyAlignment="0" applyProtection="0"/>
    <xf numFmtId="0" fontId="20" fillId="0" borderId="0"/>
    <xf numFmtId="0" fontId="20" fillId="0" borderId="0"/>
    <xf numFmtId="167" fontId="39" fillId="0" borderId="0" applyNumberFormat="0" applyFill="0" applyBorder="0" applyAlignment="0" applyProtection="0"/>
    <xf numFmtId="170" fontId="40" fillId="0" borderId="0" applyNumberFormat="0" applyFill="0" applyBorder="0" applyAlignment="0" applyProtection="0">
      <alignment vertical="top"/>
      <protection locked="0"/>
    </xf>
    <xf numFmtId="167"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7"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70" fontId="40" fillId="0" borderId="0" applyNumberFormat="0" applyFill="0" applyBorder="0" applyAlignment="0" applyProtection="0">
      <alignment vertical="top"/>
      <protection locked="0"/>
    </xf>
    <xf numFmtId="167"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7" fontId="42" fillId="36" borderId="0" applyNumberFormat="0" applyBorder="0" applyAlignment="0" applyProtection="0"/>
    <xf numFmtId="38" fontId="25" fillId="32" borderId="0" applyNumberFormat="0" applyBorder="0" applyAlignment="0" applyProtection="0"/>
    <xf numFmtId="38" fontId="25" fillId="32" borderId="0" applyNumberFormat="0" applyBorder="0" applyAlignment="0" applyProtection="0"/>
    <xf numFmtId="0" fontId="43" fillId="0" borderId="14" applyNumberFormat="0" applyAlignment="0" applyProtection="0">
      <alignment horizontal="left" vertical="center"/>
    </xf>
    <xf numFmtId="0" fontId="43" fillId="0" borderId="15">
      <alignment horizontal="left" vertical="center"/>
    </xf>
    <xf numFmtId="167" fontId="44" fillId="0" borderId="16" applyNumberFormat="0" applyFill="0" applyAlignment="0" applyProtection="0"/>
    <xf numFmtId="167" fontId="45" fillId="0" borderId="17" applyNumberFormat="0" applyFill="0" applyAlignment="0" applyProtection="0"/>
    <xf numFmtId="167" fontId="46" fillId="0" borderId="18" applyNumberFormat="0" applyFill="0" applyAlignment="0" applyProtection="0"/>
    <xf numFmtId="167" fontId="46" fillId="0" borderId="0" applyNumberFormat="0" applyFill="0" applyBorder="0" applyAlignment="0" applyProtection="0"/>
    <xf numFmtId="170"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70" fontId="29" fillId="0" borderId="0" applyNumberFormat="0" applyFill="0" applyBorder="0" applyAlignment="0" applyProtection="0">
      <alignment vertical="top"/>
      <protection locked="0"/>
    </xf>
    <xf numFmtId="167"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0" fontId="25" fillId="33" borderId="19" applyNumberFormat="0" applyBorder="0" applyAlignment="0" applyProtection="0"/>
    <xf numFmtId="10" fontId="25" fillId="33" borderId="19" applyNumberFormat="0" applyBorder="0" applyAlignment="0" applyProtection="0"/>
    <xf numFmtId="167" fontId="9" fillId="5" borderId="4" applyNumberFormat="0" applyAlignment="0" applyProtection="0"/>
    <xf numFmtId="167" fontId="9" fillId="5" borderId="4" applyNumberFormat="0" applyAlignment="0" applyProtection="0"/>
    <xf numFmtId="0" fontId="38" fillId="39" borderId="10" applyNumberFormat="0" applyAlignment="0" applyProtection="0"/>
    <xf numFmtId="0" fontId="38" fillId="39" borderId="10" applyNumberFormat="0" applyAlignment="0" applyProtection="0"/>
    <xf numFmtId="0" fontId="24" fillId="35" borderId="0" applyNumberFormat="0" applyBorder="0" applyAlignment="0" applyProtection="0"/>
    <xf numFmtId="0" fontId="29" fillId="0" borderId="0" applyNumberFormat="0" applyFill="0" applyBorder="0" applyAlignment="0" applyProtection="0">
      <alignment vertical="top"/>
      <protection locked="0"/>
    </xf>
    <xf numFmtId="167" fontId="27" fillId="0" borderId="11" applyNumberFormat="0" applyFill="0" applyAlignment="0" applyProtection="0"/>
    <xf numFmtId="175"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20"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8" fillId="33" borderId="9" applyFont="0" applyFill="0" applyBorder="0" applyAlignment="0" applyProtection="0">
      <alignment horizontal="right" vertical="center"/>
      <protection locked="0"/>
    </xf>
    <xf numFmtId="43" fontId="19" fillId="0" borderId="0" applyFont="0" applyFill="0" applyBorder="0" applyAlignment="0" applyProtection="0"/>
    <xf numFmtId="166" fontId="18" fillId="33" borderId="9" applyFont="0" applyFill="0" applyBorder="0" applyAlignment="0" applyProtection="0">
      <alignment horizontal="right" vertical="center"/>
      <protection locked="0"/>
    </xf>
    <xf numFmtId="176" fontId="19" fillId="0" borderId="0" applyFont="0" applyFill="0" applyBorder="0" applyAlignment="0" applyProtection="0"/>
    <xf numFmtId="43" fontId="20" fillId="0" borderId="0" applyFont="0" applyFill="0" applyBorder="0" applyAlignment="0" applyProtection="0"/>
    <xf numFmtId="166" fontId="18" fillId="33" borderId="9" applyFont="0" applyFill="0" applyBorder="0" applyAlignment="0" applyProtection="0">
      <alignment horizontal="right" vertical="center"/>
      <protection locked="0"/>
    </xf>
    <xf numFmtId="4" fontId="48" fillId="0" borderId="20"/>
    <xf numFmtId="177" fontId="2" fillId="0" borderId="0" applyFont="0" applyFill="0" applyBorder="0" applyAlignment="0" applyProtection="0"/>
    <xf numFmtId="43" fontId="4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7" fontId="2" fillId="0" borderId="0" applyFont="0" applyFill="0" applyBorder="0" applyAlignment="0" applyProtection="0"/>
    <xf numFmtId="164"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6" fontId="19" fillId="0" borderId="0" applyFont="0" applyFill="0" applyBorder="0" applyAlignment="0" applyProtection="0"/>
    <xf numFmtId="4" fontId="19" fillId="0" borderId="0" applyFont="0" applyFill="0" applyBorder="0" applyAlignment="0" applyProtection="0"/>
    <xf numFmtId="3" fontId="19" fillId="0" borderId="0" applyFont="0" applyFill="0" applyBorder="0" applyAlignment="0" applyProtection="0"/>
    <xf numFmtId="178" fontId="50" fillId="0" borderId="0" applyFont="0" applyFill="0" applyBorder="0" applyAlignment="0" applyProtection="0"/>
    <xf numFmtId="43" fontId="19" fillId="0" borderId="0" applyFont="0" applyFill="0" applyBorder="0" applyAlignment="0" applyProtection="0"/>
    <xf numFmtId="167" fontId="51" fillId="55"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170" fontId="52" fillId="0" borderId="0"/>
    <xf numFmtId="170" fontId="52" fillId="0" borderId="0"/>
    <xf numFmtId="0" fontId="52" fillId="0" borderId="0"/>
    <xf numFmtId="0" fontId="53" fillId="0" borderId="0"/>
    <xf numFmtId="179" fontId="54" fillId="0" borderId="0"/>
    <xf numFmtId="0" fontId="20" fillId="0" borderId="0"/>
    <xf numFmtId="0" fontId="19" fillId="0" borderId="0"/>
    <xf numFmtId="0" fontId="50" fillId="0" borderId="0"/>
    <xf numFmtId="180" fontId="52"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67" fontId="2" fillId="0" borderId="0"/>
    <xf numFmtId="170" fontId="2" fillId="0" borderId="0"/>
    <xf numFmtId="167" fontId="2" fillId="0" borderId="0"/>
    <xf numFmtId="167" fontId="2" fillId="0" borderId="0"/>
    <xf numFmtId="167" fontId="2" fillId="0" borderId="0"/>
    <xf numFmtId="167" fontId="2" fillId="0" borderId="0"/>
    <xf numFmtId="170" fontId="20" fillId="0" borderId="0"/>
    <xf numFmtId="167" fontId="2" fillId="0" borderId="0"/>
    <xf numFmtId="167" fontId="2" fillId="0" borderId="0"/>
    <xf numFmtId="167" fontId="2" fillId="0" borderId="0"/>
    <xf numFmtId="167" fontId="2" fillId="0" borderId="0"/>
    <xf numFmtId="167" fontId="2" fillId="0" borderId="0"/>
    <xf numFmtId="170" fontId="20"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2" fillId="0" borderId="0"/>
    <xf numFmtId="167" fontId="19" fillId="0" borderId="0"/>
    <xf numFmtId="167" fontId="19" fillId="0" borderId="0"/>
    <xf numFmtId="167" fontId="19" fillId="0" borderId="0"/>
    <xf numFmtId="167" fontId="19" fillId="0" borderId="0"/>
    <xf numFmtId="167" fontId="19" fillId="0" borderId="0"/>
    <xf numFmtId="167" fontId="19" fillId="0" borderId="0"/>
    <xf numFmtId="170" fontId="2" fillId="0" borderId="0"/>
    <xf numFmtId="167" fontId="19" fillId="0" borderId="0"/>
    <xf numFmtId="167" fontId="36" fillId="0" borderId="0"/>
    <xf numFmtId="167" fontId="19" fillId="0" borderId="0"/>
    <xf numFmtId="167" fontId="19" fillId="0" borderId="0"/>
    <xf numFmtId="3" fontId="19" fillId="0" borderId="0"/>
    <xf numFmtId="167" fontId="55" fillId="0" borderId="0"/>
    <xf numFmtId="167" fontId="55" fillId="0" borderId="0"/>
    <xf numFmtId="0" fontId="19" fillId="0" borderId="0"/>
    <xf numFmtId="167" fontId="19" fillId="0" borderId="0"/>
    <xf numFmtId="167" fontId="19" fillId="0" borderId="0"/>
    <xf numFmtId="167" fontId="19" fillId="0" borderId="0"/>
    <xf numFmtId="0" fontId="20" fillId="0" borderId="0"/>
    <xf numFmtId="167" fontId="56" fillId="0" borderId="0"/>
    <xf numFmtId="167" fontId="19" fillId="0" borderId="0"/>
    <xf numFmtId="170" fontId="2" fillId="0" borderId="0"/>
    <xf numFmtId="0" fontId="2" fillId="0" borderId="0"/>
    <xf numFmtId="167" fontId="57"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70" fontId="2" fillId="0" borderId="0"/>
    <xf numFmtId="167" fontId="2" fillId="0" borderId="0"/>
    <xf numFmtId="167" fontId="2" fillId="0" borderId="0"/>
    <xf numFmtId="167" fontId="2" fillId="0" borderId="0"/>
    <xf numFmtId="167" fontId="2" fillId="0" borderId="0"/>
    <xf numFmtId="167" fontId="2" fillId="0" borderId="0"/>
    <xf numFmtId="0" fontId="2" fillId="0" borderId="0"/>
    <xf numFmtId="170" fontId="2" fillId="0" borderId="0"/>
    <xf numFmtId="167" fontId="2" fillId="0" borderId="0"/>
    <xf numFmtId="167" fontId="2" fillId="0" borderId="0"/>
    <xf numFmtId="167" fontId="2" fillId="0" borderId="0"/>
    <xf numFmtId="167" fontId="19" fillId="0" borderId="0"/>
    <xf numFmtId="167" fontId="19" fillId="0" borderId="0"/>
    <xf numFmtId="167" fontId="2" fillId="0" borderId="0"/>
    <xf numFmtId="167" fontId="2" fillId="0" borderId="0"/>
    <xf numFmtId="0" fontId="2" fillId="0" borderId="0"/>
    <xf numFmtId="0" fontId="2" fillId="0" borderId="0"/>
    <xf numFmtId="167" fontId="2" fillId="0" borderId="0"/>
    <xf numFmtId="167" fontId="2" fillId="0" borderId="0"/>
    <xf numFmtId="0" fontId="19" fillId="0" borderId="0"/>
    <xf numFmtId="170" fontId="20" fillId="0" borderId="0"/>
    <xf numFmtId="167" fontId="36" fillId="0" borderId="0"/>
    <xf numFmtId="167" fontId="36" fillId="0" borderId="0"/>
    <xf numFmtId="0" fontId="19" fillId="0" borderId="0"/>
    <xf numFmtId="167" fontId="19" fillId="0" borderId="0"/>
    <xf numFmtId="167" fontId="19" fillId="0" borderId="0"/>
    <xf numFmtId="167" fontId="19" fillId="0" borderId="0"/>
    <xf numFmtId="0" fontId="19" fillId="0" borderId="0"/>
    <xf numFmtId="167" fontId="56" fillId="0" borderId="0"/>
    <xf numFmtId="167" fontId="19" fillId="0" borderId="0"/>
    <xf numFmtId="167" fontId="19" fillId="0" borderId="0"/>
    <xf numFmtId="170" fontId="20" fillId="0" borderId="0"/>
    <xf numFmtId="0" fontId="20" fillId="0" borderId="0"/>
    <xf numFmtId="167" fontId="19" fillId="0" borderId="0"/>
    <xf numFmtId="170" fontId="58" fillId="0" borderId="0"/>
    <xf numFmtId="167" fontId="19" fillId="0" borderId="0"/>
    <xf numFmtId="167" fontId="19" fillId="0" borderId="0"/>
    <xf numFmtId="167" fontId="19" fillId="0" borderId="0"/>
    <xf numFmtId="167" fontId="19"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58" fillId="0" borderId="0"/>
    <xf numFmtId="0" fontId="2" fillId="0" borderId="0"/>
    <xf numFmtId="167" fontId="19" fillId="0" borderId="0"/>
    <xf numFmtId="170" fontId="19" fillId="0" borderId="0"/>
    <xf numFmtId="0" fontId="59"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19" fillId="0" borderId="0"/>
    <xf numFmtId="0" fontId="19" fillId="0" borderId="0"/>
    <xf numFmtId="167" fontId="19" fillId="0" borderId="0"/>
    <xf numFmtId="167" fontId="36" fillId="0" borderId="0"/>
    <xf numFmtId="167" fontId="19" fillId="0" borderId="0"/>
    <xf numFmtId="167" fontId="19" fillId="0" borderId="0"/>
    <xf numFmtId="167" fontId="19" fillId="0" borderId="0"/>
    <xf numFmtId="167" fontId="19" fillId="0" borderId="0"/>
    <xf numFmtId="0" fontId="19" fillId="0" borderId="0"/>
    <xf numFmtId="167" fontId="19" fillId="0" borderId="0"/>
    <xf numFmtId="167" fontId="19" fillId="0" borderId="0"/>
    <xf numFmtId="167" fontId="19" fillId="0" borderId="0"/>
    <xf numFmtId="167" fontId="19" fillId="0" borderId="0"/>
    <xf numFmtId="0" fontId="19" fillId="0" borderId="0"/>
    <xf numFmtId="167" fontId="19" fillId="0" borderId="0"/>
    <xf numFmtId="167" fontId="19" fillId="0" borderId="0"/>
    <xf numFmtId="167" fontId="19" fillId="0" borderId="0"/>
    <xf numFmtId="0" fontId="19" fillId="0" borderId="0"/>
    <xf numFmtId="167" fontId="19" fillId="0" borderId="0"/>
    <xf numFmtId="167" fontId="19" fillId="0" borderId="0"/>
    <xf numFmtId="167" fontId="19" fillId="0" borderId="0"/>
    <xf numFmtId="0" fontId="19" fillId="0" borderId="0"/>
    <xf numFmtId="0" fontId="19" fillId="0" borderId="0"/>
    <xf numFmtId="170" fontId="20" fillId="54" borderId="13" applyNumberFormat="0" applyFont="0" applyAlignment="0" applyProtection="0"/>
    <xf numFmtId="170" fontId="20" fillId="54" borderId="13" applyNumberFormat="0" applyFont="0" applyAlignment="0" applyProtection="0"/>
    <xf numFmtId="0" fontId="57" fillId="54" borderId="13" applyNumberFormat="0" applyFont="0" applyAlignment="0" applyProtection="0"/>
    <xf numFmtId="167" fontId="20" fillId="54" borderId="13" applyNumberFormat="0" applyFont="0" applyAlignment="0" applyProtection="0"/>
    <xf numFmtId="0" fontId="20" fillId="54" borderId="13" applyNumberFormat="0" applyFont="0" applyAlignment="0" applyProtection="0"/>
    <xf numFmtId="167" fontId="19" fillId="54" borderId="13" applyNumberFormat="0" applyFont="0" applyAlignment="0" applyProtection="0"/>
    <xf numFmtId="167" fontId="19" fillId="54" borderId="13" applyNumberFormat="0" applyFont="0" applyAlignment="0" applyProtection="0"/>
    <xf numFmtId="0" fontId="19" fillId="54" borderId="13" applyNumberFormat="0" applyFont="0" applyAlignment="0" applyProtection="0"/>
    <xf numFmtId="167" fontId="19" fillId="54" borderId="13" applyNumberFormat="0" applyFont="0" applyAlignment="0" applyProtection="0"/>
    <xf numFmtId="167" fontId="19" fillId="54" borderId="13" applyNumberFormat="0" applyFont="0" applyAlignment="0" applyProtection="0"/>
    <xf numFmtId="167" fontId="19" fillId="54" borderId="13" applyNumberFormat="0" applyFont="0" applyAlignment="0" applyProtection="0"/>
    <xf numFmtId="167" fontId="19" fillId="54" borderId="13" applyNumberFormat="0" applyFont="0" applyAlignment="0" applyProtection="0"/>
    <xf numFmtId="178" fontId="35" fillId="0" borderId="0" applyFill="0" applyBorder="0" applyProtection="0">
      <alignment vertical="center"/>
    </xf>
    <xf numFmtId="167" fontId="10" fillId="6" borderId="5" applyNumberFormat="0" applyAlignment="0" applyProtection="0"/>
    <xf numFmtId="167" fontId="10" fillId="6" borderId="5" applyNumberFormat="0" applyAlignment="0" applyProtection="0"/>
    <xf numFmtId="0" fontId="60" fillId="52" borderId="21" applyNumberFormat="0" applyAlignment="0" applyProtection="0"/>
    <xf numFmtId="10" fontId="19" fillId="0" borderId="0" applyFont="0" applyFill="0" applyBorder="0" applyAlignment="0" applyProtection="0"/>
    <xf numFmtId="181" fontId="35" fillId="0" borderId="0" applyFill="0" applyBorder="0" applyProtection="0">
      <alignment vertical="center"/>
    </xf>
    <xf numFmtId="10" fontId="6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62" fillId="33" borderId="19" applyFont="0" applyFill="0" applyBorder="0" applyAlignment="0" applyProtection="0">
      <alignment horizontal="center" vertical="center"/>
      <protection locked="0"/>
    </xf>
    <xf numFmtId="10" fontId="62" fillId="33" borderId="19" applyFont="0" applyFill="0" applyBorder="0" applyAlignment="0" applyProtection="0">
      <alignment horizontal="center" vertical="center"/>
      <protection locked="0"/>
    </xf>
    <xf numFmtId="9" fontId="20" fillId="0" borderId="0" applyFont="0" applyFill="0" applyBorder="0" applyAlignment="0" applyProtection="0"/>
    <xf numFmtId="10" fontId="62" fillId="33" borderId="19" applyFont="0" applyFill="0" applyBorder="0" applyAlignment="0" applyProtection="0">
      <alignment horizontal="center" vertical="center"/>
      <protection locked="0"/>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62" fillId="33" borderId="19" applyFont="0" applyFill="0" applyBorder="0" applyAlignment="0" applyProtection="0">
      <alignment horizontal="center" vertical="center"/>
      <protection locked="0"/>
    </xf>
    <xf numFmtId="9" fontId="5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8"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19" fillId="0" borderId="0" applyFont="0" applyFill="0" applyBorder="0" applyAlignment="0" applyProtection="0"/>
    <xf numFmtId="9" fontId="63" fillId="0" borderId="0" applyFont="0" applyFill="0" applyBorder="0" applyAlignment="0" applyProtection="0"/>
    <xf numFmtId="9" fontId="50" fillId="0" borderId="0" applyFont="0" applyFill="0" applyBorder="0" applyAlignment="0" applyProtection="0"/>
    <xf numFmtId="3" fontId="64" fillId="0" borderId="0" applyFont="0" applyFill="0" applyBorder="0" applyAlignment="0" applyProtection="0"/>
    <xf numFmtId="0" fontId="65" fillId="0" borderId="0" applyNumberFormat="0" applyFill="0" applyBorder="0" applyAlignment="0" applyProtection="0">
      <alignment horizontal="left"/>
    </xf>
    <xf numFmtId="170" fontId="32" fillId="0" borderId="0" applyNumberFormat="0" applyFill="0" applyBorder="0" applyAlignment="0" applyProtection="0"/>
    <xf numFmtId="0" fontId="42" fillId="36" borderId="0" applyNumberFormat="0" applyBorder="0" applyAlignment="0" applyProtection="0"/>
    <xf numFmtId="167" fontId="19" fillId="56" borderId="0" applyNumberFormat="0" applyBorder="0" applyAlignment="0" applyProtection="0"/>
    <xf numFmtId="167" fontId="19" fillId="56" borderId="0" applyNumberFormat="0" applyBorder="0" applyAlignment="0" applyProtection="0"/>
    <xf numFmtId="167" fontId="66" fillId="0" borderId="0" applyNumberFormat="0" applyFill="0" applyBorder="0" applyAlignment="0" applyProtection="0"/>
    <xf numFmtId="167" fontId="66" fillId="0" borderId="0" applyNumberFormat="0" applyFill="0" applyBorder="0" applyAlignment="0" applyProtection="0"/>
    <xf numFmtId="167" fontId="19" fillId="57" borderId="0" applyNumberFormat="0" applyBorder="0" applyAlignment="0" applyProtection="0"/>
    <xf numFmtId="167" fontId="19" fillId="57" borderId="0" applyNumberFormat="0" applyBorder="0" applyAlignment="0" applyProtection="0"/>
    <xf numFmtId="167" fontId="19" fillId="58" borderId="0" applyNumberFormat="0" applyBorder="0" applyAlignment="0" applyProtection="0"/>
    <xf numFmtId="167" fontId="19" fillId="58" borderId="0" applyNumberFormat="0" applyBorder="0" applyAlignment="0" applyProtection="0"/>
    <xf numFmtId="167" fontId="19" fillId="59" borderId="0" applyNumberFormat="0" applyBorder="0" applyAlignment="0" applyProtection="0"/>
    <xf numFmtId="167" fontId="19" fillId="59" borderId="0" applyNumberFormat="0" applyBorder="0" applyAlignment="0" applyProtection="0"/>
    <xf numFmtId="167" fontId="19" fillId="60" borderId="0" applyNumberFormat="0" applyBorder="0" applyAlignment="0" applyProtection="0"/>
    <xf numFmtId="167" fontId="19" fillId="60" borderId="0" applyNumberFormat="0" applyBorder="0" applyAlignment="0" applyProtection="0"/>
    <xf numFmtId="167" fontId="19" fillId="61" borderId="0" applyNumberFormat="0" applyBorder="0" applyAlignment="0" applyProtection="0"/>
    <xf numFmtId="167" fontId="19" fillId="61" borderId="0" applyNumberFormat="0" applyBorder="0" applyAlignment="0" applyProtection="0"/>
    <xf numFmtId="167" fontId="19" fillId="62" borderId="0" applyNumberFormat="0" applyBorder="0" applyAlignment="0" applyProtection="0"/>
    <xf numFmtId="167" fontId="19" fillId="62" borderId="0" applyNumberFormat="0" applyBorder="0" applyAlignment="0" applyProtection="0"/>
    <xf numFmtId="0" fontId="67" fillId="0" borderId="0" applyFill="0" applyBorder="0" applyProtection="0">
      <alignment horizontal="centerContinuous" vertical="top"/>
    </xf>
    <xf numFmtId="0" fontId="60" fillId="52" borderId="21" applyNumberFormat="0" applyAlignment="0" applyProtection="0"/>
    <xf numFmtId="0" fontId="52" fillId="0" borderId="0" applyFill="0" applyBorder="0" applyProtection="0">
      <alignment horizontal="left"/>
    </xf>
    <xf numFmtId="0" fontId="57" fillId="0" borderId="0">
      <alignment vertical="top"/>
    </xf>
    <xf numFmtId="40" fontId="68" fillId="0" borderId="0" applyBorder="0">
      <alignment horizontal="right"/>
    </xf>
    <xf numFmtId="167" fontId="14" fillId="0" borderId="0" applyNumberFormat="0" applyFill="0" applyBorder="0" applyAlignment="0" applyProtection="0"/>
    <xf numFmtId="167" fontId="14" fillId="0" borderId="0" applyNumberFormat="0" applyFill="0" applyBorder="0" applyAlignment="0" applyProtection="0"/>
    <xf numFmtId="0" fontId="23" fillId="0" borderId="0" applyNumberFormat="0" applyFill="0" applyBorder="0" applyAlignment="0" applyProtection="0"/>
    <xf numFmtId="0" fontId="59" fillId="0" borderId="0"/>
    <xf numFmtId="167" fontId="1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7" fontId="69" fillId="0" borderId="0" applyNumberFormat="0" applyFill="0" applyBorder="0" applyAlignment="0" applyProtection="0"/>
    <xf numFmtId="167" fontId="3" fillId="0" borderId="1" applyNumberFormat="0" applyFill="0" applyAlignment="0" applyProtection="0"/>
    <xf numFmtId="167" fontId="3" fillId="0" borderId="1" applyNumberFormat="0" applyFill="0" applyAlignment="0" applyProtection="0"/>
    <xf numFmtId="0" fontId="44" fillId="0" borderId="16" applyNumberFormat="0" applyFill="0" applyAlignment="0" applyProtection="0"/>
    <xf numFmtId="167" fontId="4" fillId="0" borderId="2" applyNumberFormat="0" applyFill="0" applyAlignment="0" applyProtection="0"/>
    <xf numFmtId="167" fontId="4" fillId="0" borderId="2" applyNumberFormat="0" applyFill="0" applyAlignment="0" applyProtection="0"/>
    <xf numFmtId="0" fontId="45" fillId="0" borderId="17" applyNumberFormat="0" applyFill="0" applyAlignment="0" applyProtection="0"/>
    <xf numFmtId="167" fontId="5" fillId="0" borderId="3" applyNumberFormat="0" applyFill="0" applyAlignment="0" applyProtection="0"/>
    <xf numFmtId="167" fontId="5" fillId="0" borderId="3" applyNumberFormat="0" applyFill="0" applyAlignment="0" applyProtection="0"/>
    <xf numFmtId="0" fontId="46" fillId="0" borderId="18" applyNumberFormat="0" applyFill="0" applyAlignment="0" applyProtection="0"/>
    <xf numFmtId="167" fontId="5" fillId="0" borderId="0" applyNumberFormat="0" applyFill="0" applyBorder="0" applyAlignment="0" applyProtection="0"/>
    <xf numFmtId="167" fontId="5" fillId="0" borderId="0" applyNumberFormat="0" applyFill="0" applyBorder="0" applyAlignment="0" applyProtection="0"/>
    <xf numFmtId="0" fontId="46"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44" fillId="0" borderId="16" applyNumberFormat="0" applyFill="0" applyAlignment="0" applyProtection="0"/>
    <xf numFmtId="0" fontId="45" fillId="0" borderId="17" applyNumberFormat="0" applyFill="0" applyAlignment="0" applyProtection="0"/>
    <xf numFmtId="0" fontId="46" fillId="0" borderId="18" applyNumberFormat="0" applyFill="0" applyAlignment="0" applyProtection="0"/>
    <xf numFmtId="0" fontId="46" fillId="0" borderId="0" applyNumberFormat="0" applyFill="0" applyBorder="0" applyAlignment="0" applyProtection="0"/>
    <xf numFmtId="0" fontId="70" fillId="0" borderId="0" applyBorder="0"/>
    <xf numFmtId="167" fontId="71" fillId="0" borderId="22" applyNumberFormat="0" applyFill="0" applyAlignment="0" applyProtection="0"/>
    <xf numFmtId="167" fontId="71" fillId="0" borderId="22" applyNumberFormat="0" applyFill="0" applyAlignment="0" applyProtection="0"/>
    <xf numFmtId="0" fontId="71" fillId="0" borderId="22" applyNumberFormat="0" applyFill="0" applyAlignment="0" applyProtection="0"/>
    <xf numFmtId="167" fontId="16" fillId="0" borderId="8" applyNumberFormat="0" applyFill="0" applyAlignment="0" applyProtection="0"/>
    <xf numFmtId="167" fontId="16" fillId="0" borderId="8" applyNumberFormat="0" applyFill="0" applyAlignment="0" applyProtection="0"/>
    <xf numFmtId="0" fontId="71" fillId="0" borderId="22" applyNumberFormat="0" applyFill="0" applyAlignment="0" applyProtection="0"/>
    <xf numFmtId="167" fontId="7" fillId="3" borderId="0" applyNumberFormat="0" applyBorder="0" applyAlignment="0" applyProtection="0"/>
    <xf numFmtId="167" fontId="7" fillId="3" borderId="0" applyNumberFormat="0" applyBorder="0" applyAlignment="0" applyProtection="0"/>
    <xf numFmtId="0" fontId="24" fillId="35" borderId="0" applyNumberFormat="0" applyBorder="0" applyAlignment="0" applyProtection="0"/>
    <xf numFmtId="167" fontId="6" fillId="2" borderId="0" applyNumberFormat="0" applyBorder="0" applyAlignment="0" applyProtection="0"/>
    <xf numFmtId="167" fontId="6" fillId="2" borderId="0" applyNumberFormat="0" applyBorder="0" applyAlignment="0" applyProtection="0"/>
    <xf numFmtId="0" fontId="42" fillId="36" borderId="0" applyNumberFormat="0" applyBorder="0" applyAlignment="0" applyProtection="0"/>
    <xf numFmtId="182" fontId="19" fillId="0" borderId="0" applyFont="0" applyFill="0" applyBorder="0" applyAlignment="0" applyProtection="0"/>
    <xf numFmtId="165" fontId="19" fillId="0" borderId="0" applyFont="0" applyFill="0" applyBorder="0" applyAlignment="0" applyProtection="0"/>
    <xf numFmtId="183" fontId="19" fillId="0" borderId="0" applyFill="0" applyBorder="0" applyAlignment="0" applyProtection="0"/>
    <xf numFmtId="0" fontId="28" fillId="53" borderId="12" applyNumberFormat="0" applyAlignment="0" applyProtection="0"/>
    <xf numFmtId="167" fontId="23" fillId="0" borderId="0" applyNumberFormat="0" applyFill="0" applyBorder="0" applyAlignment="0" applyProtection="0"/>
    <xf numFmtId="0" fontId="19" fillId="0" borderId="0"/>
    <xf numFmtId="166" fontId="18" fillId="33" borderId="24" applyFont="0" applyFill="0" applyBorder="0" applyAlignment="0" applyProtection="0">
      <alignment horizontal="right" vertical="center"/>
      <protection locked="0"/>
    </xf>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6" fillId="52" borderId="25" applyNumberFormat="0" applyAlignment="0" applyProtection="0"/>
    <xf numFmtId="0" fontId="26" fillId="52" borderId="25" applyNumberFormat="0" applyAlignment="0" applyProtection="0"/>
    <xf numFmtId="0" fontId="26" fillId="64" borderId="25" applyNumberFormat="0" applyAlignment="0" applyProtection="0"/>
    <xf numFmtId="0" fontId="20" fillId="54" borderId="26" applyNumberFormat="0" applyFont="0" applyAlignment="0" applyProtection="0"/>
    <xf numFmtId="0" fontId="38" fillId="39" borderId="25" applyNumberFormat="0" applyAlignment="0" applyProtection="0"/>
    <xf numFmtId="0" fontId="43" fillId="0" borderId="27">
      <alignment horizontal="left" vertical="center"/>
    </xf>
    <xf numFmtId="10" fontId="25" fillId="33" borderId="28" applyNumberFormat="0" applyBorder="0" applyAlignment="0" applyProtection="0"/>
    <xf numFmtId="10" fontId="25" fillId="33" borderId="28" applyNumberFormat="0" applyBorder="0" applyAlignment="0" applyProtection="0"/>
    <xf numFmtId="0" fontId="38" fillId="39" borderId="29" applyNumberFormat="0" applyAlignment="0" applyProtection="0"/>
    <xf numFmtId="0" fontId="38" fillId="39" borderId="29" applyNumberFormat="0" applyAlignment="0" applyProtection="0"/>
    <xf numFmtId="0" fontId="38" fillId="39" borderId="29" applyNumberFormat="0" applyAlignment="0" applyProtection="0"/>
    <xf numFmtId="43" fontId="72" fillId="0" borderId="0" applyFont="0" applyFill="0" applyBorder="0" applyAlignment="0" applyProtection="0"/>
    <xf numFmtId="170" fontId="2" fillId="0" borderId="0"/>
    <xf numFmtId="0" fontId="57" fillId="54" borderId="30" applyNumberFormat="0" applyFont="0" applyAlignment="0" applyProtection="0"/>
    <xf numFmtId="170" fontId="20" fillId="54" borderId="30" applyNumberFormat="0" applyFont="0" applyAlignment="0" applyProtection="0"/>
    <xf numFmtId="167" fontId="20" fillId="54" borderId="30" applyNumberFormat="0" applyFont="0" applyAlignment="0" applyProtection="0"/>
    <xf numFmtId="0" fontId="20" fillId="54" borderId="30" applyNumberFormat="0" applyFont="0" applyAlignment="0" applyProtection="0"/>
    <xf numFmtId="170" fontId="20" fillId="54" borderId="30" applyNumberFormat="0" applyFont="0" applyAlignment="0" applyProtection="0"/>
    <xf numFmtId="167" fontId="19" fillId="54" borderId="30" applyNumberFormat="0" applyFont="0" applyAlignment="0" applyProtection="0"/>
    <xf numFmtId="0" fontId="19" fillId="54" borderId="30" applyNumberFormat="0" applyFont="0" applyAlignment="0" applyProtection="0"/>
    <xf numFmtId="167" fontId="19" fillId="54" borderId="30" applyNumberFormat="0" applyFont="0" applyAlignment="0" applyProtection="0"/>
    <xf numFmtId="167" fontId="19" fillId="54" borderId="30" applyNumberFormat="0" applyFont="0" applyAlignment="0" applyProtection="0"/>
    <xf numFmtId="167" fontId="19" fillId="54" borderId="30" applyNumberFormat="0" applyFont="0" applyAlignment="0" applyProtection="0"/>
    <xf numFmtId="167" fontId="19" fillId="54" borderId="30" applyNumberFormat="0" applyFont="0" applyAlignment="0" applyProtection="0"/>
    <xf numFmtId="0" fontId="19" fillId="54" borderId="30" applyNumberFormat="0" applyFont="0" applyAlignment="0" applyProtection="0"/>
    <xf numFmtId="0" fontId="60" fillId="52" borderId="31" applyNumberFormat="0" applyAlignment="0" applyProtection="0"/>
    <xf numFmtId="0" fontId="60" fillId="64" borderId="31" applyNumberFormat="0" applyAlignment="0" applyProtection="0"/>
    <xf numFmtId="10" fontId="62" fillId="33" borderId="28" applyFont="0" applyFill="0" applyBorder="0" applyAlignment="0" applyProtection="0">
      <alignment horizontal="center" vertical="center"/>
      <protection locked="0"/>
    </xf>
    <xf numFmtId="10" fontId="62" fillId="33" borderId="28" applyFont="0" applyFill="0" applyBorder="0" applyAlignment="0" applyProtection="0">
      <alignment horizontal="center" vertical="center"/>
      <protection locked="0"/>
    </xf>
    <xf numFmtId="10" fontId="62" fillId="33" borderId="28" applyFont="0" applyFill="0" applyBorder="0" applyAlignment="0" applyProtection="0">
      <alignment horizontal="center" vertical="center"/>
      <protection locked="0"/>
    </xf>
    <xf numFmtId="10" fontId="62" fillId="33" borderId="28" applyFont="0" applyFill="0" applyBorder="0" applyAlignment="0" applyProtection="0">
      <alignment horizontal="center" vertical="center"/>
      <protection locked="0"/>
    </xf>
    <xf numFmtId="0" fontId="60" fillId="52" borderId="31" applyNumberFormat="0" applyAlignment="0" applyProtection="0"/>
    <xf numFmtId="167" fontId="71" fillId="0" borderId="32" applyNumberFormat="0" applyFill="0" applyAlignment="0" applyProtection="0"/>
    <xf numFmtId="0" fontId="71" fillId="0" borderId="32" applyNumberFormat="0" applyFill="0" applyAlignment="0" applyProtection="0"/>
    <xf numFmtId="0" fontId="71" fillId="0" borderId="33" applyNumberFormat="0" applyFill="0" applyAlignment="0" applyProtection="0"/>
    <xf numFmtId="0" fontId="71" fillId="0" borderId="32" applyNumberFormat="0" applyFill="0" applyAlignment="0" applyProtection="0"/>
    <xf numFmtId="164" fontId="2" fillId="0" borderId="0" applyFont="0" applyFill="0" applyBorder="0" applyAlignment="0" applyProtection="0"/>
    <xf numFmtId="0" fontId="73" fillId="0" borderId="0" applyNumberFormat="0" applyFill="0" applyBorder="0" applyAlignment="0" applyProtection="0">
      <alignment vertical="top"/>
      <protection locked="0"/>
    </xf>
    <xf numFmtId="0" fontId="11" fillId="6" borderId="4" applyNumberFormat="0" applyAlignment="0" applyProtection="0"/>
    <xf numFmtId="165" fontId="2" fillId="0" borderId="0" applyFont="0" applyFill="0" applyBorder="0" applyAlignment="0" applyProtection="0"/>
    <xf numFmtId="9" fontId="2" fillId="0" borderId="0" applyFont="0" applyFill="0" applyBorder="0" applyAlignment="0" applyProtection="0"/>
    <xf numFmtId="0" fontId="26" fillId="52" borderId="29" applyNumberFormat="0" applyAlignment="0" applyProtection="0"/>
    <xf numFmtId="0" fontId="26" fillId="52" borderId="29" applyNumberFormat="0" applyAlignment="0" applyProtection="0"/>
    <xf numFmtId="167" fontId="26" fillId="52" borderId="29" applyNumberFormat="0" applyAlignment="0" applyProtection="0"/>
    <xf numFmtId="0" fontId="20" fillId="54" borderId="30" applyNumberFormat="0" applyFont="0" applyAlignment="0" applyProtection="0"/>
    <xf numFmtId="0" fontId="38" fillId="39" borderId="29" applyNumberFormat="0" applyAlignment="0" applyProtection="0"/>
    <xf numFmtId="166" fontId="18" fillId="33" borderId="24" applyFont="0" applyFill="0" applyBorder="0" applyAlignment="0" applyProtection="0">
      <alignment horizontal="right" vertical="center"/>
      <protection locked="0"/>
    </xf>
    <xf numFmtId="166" fontId="18" fillId="33" borderId="24" applyFont="0" applyFill="0" applyBorder="0" applyAlignment="0" applyProtection="0">
      <alignment horizontal="right" vertical="center"/>
      <protection locked="0"/>
    </xf>
    <xf numFmtId="166" fontId="18" fillId="33" borderId="24" applyFont="0" applyFill="0" applyBorder="0" applyAlignment="0" applyProtection="0">
      <alignment horizontal="right" vertical="center"/>
      <protection locked="0"/>
    </xf>
    <xf numFmtId="0" fontId="26" fillId="52" borderId="29" applyNumberFormat="0" applyAlignment="0" applyProtection="0"/>
    <xf numFmtId="0" fontId="26" fillId="52" borderId="29" applyNumberFormat="0" applyAlignment="0" applyProtection="0"/>
    <xf numFmtId="0" fontId="26" fillId="64" borderId="29" applyNumberFormat="0" applyAlignment="0" applyProtection="0"/>
    <xf numFmtId="0" fontId="20" fillId="54" borderId="30" applyNumberFormat="0" applyFont="0" applyAlignment="0" applyProtection="0"/>
    <xf numFmtId="0" fontId="38" fillId="39" borderId="29" applyNumberFormat="0" applyAlignment="0" applyProtection="0"/>
    <xf numFmtId="0" fontId="5" fillId="0" borderId="3" applyNumberFormat="0" applyFill="0" applyAlignment="0" applyProtection="0"/>
  </cellStyleXfs>
  <cellXfs count="434">
    <xf numFmtId="0" fontId="0" fillId="0" borderId="0" xfId="0"/>
    <xf numFmtId="0" fontId="11" fillId="6" borderId="4" xfId="793"/>
    <xf numFmtId="0" fontId="74" fillId="0" borderId="0" xfId="0" applyFont="1"/>
    <xf numFmtId="0" fontId="0" fillId="0" borderId="0" xfId="0" applyAlignment="1">
      <alignment horizontal="center"/>
    </xf>
    <xf numFmtId="0" fontId="79" fillId="0" borderId="0" xfId="182" applyNumberFormat="1" applyFont="1" applyFill="1" applyBorder="1" applyAlignment="1" applyProtection="1">
      <alignment horizontal="left" vertical="center"/>
    </xf>
    <xf numFmtId="0" fontId="17" fillId="8" borderId="28" xfId="227" applyNumberFormat="1" applyBorder="1" applyAlignment="1" applyProtection="1">
      <alignment horizontal="left" indent="2"/>
    </xf>
    <xf numFmtId="0" fontId="81" fillId="48" borderId="0" xfId="182" applyNumberFormat="1" applyFont="1" applyBorder="1" applyAlignment="1" applyProtection="1">
      <alignment horizontal="left" vertical="center"/>
    </xf>
    <xf numFmtId="184" fontId="81" fillId="48" borderId="0" xfId="791" applyNumberFormat="1" applyFont="1" applyFill="1" applyBorder="1" applyAlignment="1" applyProtection="1">
      <alignment horizontal="left" vertical="center"/>
    </xf>
    <xf numFmtId="0" fontId="11" fillId="6" borderId="4" xfId="793" applyAlignment="1">
      <alignment horizontal="right"/>
    </xf>
    <xf numFmtId="0" fontId="89" fillId="0" borderId="0" xfId="182" applyNumberFormat="1" applyFont="1" applyFill="1" applyBorder="1" applyAlignment="1" applyProtection="1">
      <alignment horizontal="left" vertical="center"/>
    </xf>
    <xf numFmtId="0" fontId="73" fillId="0" borderId="0" xfId="792" applyAlignment="1" applyProtection="1"/>
    <xf numFmtId="0" fontId="73" fillId="0" borderId="11" xfId="792" applyNumberFormat="1" applyFill="1" applyBorder="1" applyAlignment="1" applyProtection="1">
      <alignment horizontal="left" vertical="center"/>
    </xf>
    <xf numFmtId="0" fontId="17" fillId="8" borderId="28" xfId="227" applyNumberFormat="1" applyBorder="1" applyAlignment="1" applyProtection="1">
      <alignment horizontal="left"/>
    </xf>
    <xf numFmtId="0" fontId="73" fillId="0" borderId="11" xfId="792" applyNumberFormat="1" applyFill="1" applyBorder="1" applyAlignment="1" applyProtection="1">
      <alignment horizontal="right" vertical="center"/>
    </xf>
    <xf numFmtId="0" fontId="17" fillId="8" borderId="28" xfId="227" applyNumberFormat="1" applyBorder="1" applyAlignment="1" applyProtection="1">
      <alignment horizontal="left" wrapText="1"/>
    </xf>
    <xf numFmtId="3" fontId="0" fillId="0" borderId="28" xfId="0" applyNumberFormat="1" applyBorder="1" applyProtection="1">
      <protection locked="0"/>
    </xf>
    <xf numFmtId="10" fontId="85" fillId="3" borderId="28" xfId="795" applyNumberFormat="1" applyFont="1" applyFill="1" applyBorder="1" applyProtection="1">
      <protection locked="0"/>
    </xf>
    <xf numFmtId="4" fontId="85" fillId="3" borderId="28" xfId="791" applyNumberFormat="1" applyFont="1" applyFill="1" applyBorder="1" applyProtection="1">
      <protection locked="0"/>
    </xf>
    <xf numFmtId="4" fontId="85" fillId="3" borderId="28" xfId="791" applyNumberFormat="1" applyFont="1" applyFill="1" applyBorder="1" applyAlignment="1" applyProtection="1">
      <alignment horizontal="right"/>
      <protection locked="0"/>
    </xf>
    <xf numFmtId="4" fontId="85" fillId="77" borderId="28" xfId="791" applyNumberFormat="1" applyFont="1" applyFill="1" applyBorder="1" applyProtection="1">
      <protection locked="0"/>
    </xf>
    <xf numFmtId="164" fontId="0" fillId="0" borderId="28" xfId="791" applyFont="1" applyBorder="1" applyProtection="1">
      <protection locked="0"/>
    </xf>
    <xf numFmtId="0" fontId="113" fillId="8" borderId="28" xfId="792" applyNumberFormat="1" applyFont="1" applyFill="1" applyBorder="1" applyAlignment="1" applyProtection="1">
      <alignment horizontal="left" indent="2"/>
    </xf>
    <xf numFmtId="0" fontId="107" fillId="66" borderId="45" xfId="0" applyFont="1" applyFill="1" applyBorder="1" applyAlignment="1">
      <alignment horizontal="center" vertical="center"/>
    </xf>
    <xf numFmtId="0" fontId="96" fillId="63" borderId="0" xfId="0" applyFont="1" applyFill="1"/>
    <xf numFmtId="0" fontId="78" fillId="75" borderId="61" xfId="0" applyFont="1" applyFill="1" applyBorder="1" applyAlignment="1">
      <alignment horizontal="center"/>
    </xf>
    <xf numFmtId="0" fontId="78" fillId="75" borderId="70" xfId="0" applyFont="1" applyFill="1" applyBorder="1" applyAlignment="1">
      <alignment horizontal="center"/>
    </xf>
    <xf numFmtId="0" fontId="78" fillId="76" borderId="75" xfId="0" applyFont="1" applyFill="1" applyBorder="1" applyAlignment="1">
      <alignment horizontal="center" vertical="center"/>
    </xf>
    <xf numFmtId="0" fontId="78" fillId="76" borderId="48" xfId="0" applyFont="1" applyFill="1" applyBorder="1" applyAlignment="1">
      <alignment horizontal="center" vertical="center"/>
    </xf>
    <xf numFmtId="0" fontId="78" fillId="73" borderId="61" xfId="0" applyFont="1" applyFill="1" applyBorder="1" applyAlignment="1">
      <alignment horizontal="center" vertical="center"/>
    </xf>
    <xf numFmtId="0" fontId="78" fillId="73" borderId="66" xfId="0" applyFont="1" applyFill="1" applyBorder="1" applyAlignment="1">
      <alignment horizontal="center"/>
    </xf>
    <xf numFmtId="0" fontId="78" fillId="75" borderId="66" xfId="0" applyFont="1" applyFill="1" applyBorder="1" applyAlignment="1">
      <alignment horizontal="center"/>
    </xf>
    <xf numFmtId="0" fontId="78" fillId="73" borderId="58" xfId="0" applyFont="1" applyFill="1" applyBorder="1" applyAlignment="1">
      <alignment horizontal="center" vertical="center"/>
    </xf>
    <xf numFmtId="0" fontId="78" fillId="63" borderId="60" xfId="0" applyFont="1" applyFill="1" applyBorder="1" applyAlignment="1">
      <alignment horizontal="center" vertical="center"/>
    </xf>
    <xf numFmtId="0" fontId="78" fillId="74" borderId="70" xfId="0" applyFont="1" applyFill="1" applyBorder="1" applyAlignment="1">
      <alignment horizontal="center"/>
    </xf>
    <xf numFmtId="0" fontId="78" fillId="63" borderId="58" xfId="0" applyFont="1" applyFill="1" applyBorder="1" applyAlignment="1">
      <alignment horizontal="center" vertical="center"/>
    </xf>
    <xf numFmtId="0" fontId="78" fillId="63" borderId="54" xfId="0" applyFont="1" applyFill="1" applyBorder="1" applyAlignment="1">
      <alignment horizontal="center" vertical="center"/>
    </xf>
    <xf numFmtId="0" fontId="78" fillId="63" borderId="61" xfId="0" applyFont="1" applyFill="1" applyBorder="1" applyAlignment="1">
      <alignment horizontal="center" vertical="center"/>
    </xf>
    <xf numFmtId="0" fontId="78" fillId="63" borderId="55" xfId="0" applyFont="1" applyFill="1" applyBorder="1" applyAlignment="1">
      <alignment horizontal="center" vertical="center"/>
    </xf>
    <xf numFmtId="0" fontId="78" fillId="63" borderId="79" xfId="0" applyFont="1" applyFill="1" applyBorder="1" applyAlignment="1">
      <alignment horizontal="center" vertical="center"/>
    </xf>
    <xf numFmtId="0" fontId="78" fillId="63" borderId="64" xfId="0" applyFont="1" applyFill="1" applyBorder="1" applyAlignment="1">
      <alignment horizontal="center" vertical="center"/>
    </xf>
    <xf numFmtId="0" fontId="78" fillId="63" borderId="63" xfId="0" applyFont="1" applyFill="1" applyBorder="1" applyAlignment="1">
      <alignment horizontal="center" vertical="center"/>
    </xf>
    <xf numFmtId="0" fontId="78" fillId="63" borderId="66" xfId="0" applyFont="1" applyFill="1" applyBorder="1" applyAlignment="1">
      <alignment horizontal="center" vertical="center"/>
    </xf>
    <xf numFmtId="0" fontId="78" fillId="63" borderId="14" xfId="0" applyFont="1" applyFill="1" applyBorder="1" applyAlignment="1">
      <alignment horizontal="center"/>
    </xf>
    <xf numFmtId="3" fontId="85" fillId="77" borderId="28" xfId="0" applyNumberFormat="1" applyFont="1" applyFill="1" applyBorder="1" applyProtection="1">
      <protection locked="0"/>
    </xf>
    <xf numFmtId="0" fontId="82" fillId="0" borderId="0" xfId="0" applyFont="1"/>
    <xf numFmtId="0" fontId="84" fillId="0" borderId="0" xfId="0" applyFont="1" applyAlignment="1">
      <alignment horizontal="right"/>
    </xf>
    <xf numFmtId="185" fontId="85" fillId="3" borderId="28" xfId="791" applyNumberFormat="1" applyFont="1" applyFill="1" applyBorder="1" applyProtection="1"/>
    <xf numFmtId="0" fontId="86" fillId="67" borderId="0" xfId="0" applyFont="1" applyFill="1"/>
    <xf numFmtId="0" fontId="82" fillId="0" borderId="35" xfId="0" applyFont="1" applyBorder="1"/>
    <xf numFmtId="0" fontId="87" fillId="0" borderId="36" xfId="0" applyFont="1" applyBorder="1"/>
    <xf numFmtId="0" fontId="82" fillId="0" borderId="36" xfId="0" applyFont="1" applyBorder="1"/>
    <xf numFmtId="0" fontId="82" fillId="0" borderId="37" xfId="0" applyFont="1" applyBorder="1"/>
    <xf numFmtId="0" fontId="82" fillId="0" borderId="38" xfId="0" applyFont="1" applyBorder="1" applyAlignment="1">
      <alignment vertical="center"/>
    </xf>
    <xf numFmtId="0" fontId="82" fillId="0" borderId="0" xfId="0" applyFont="1" applyAlignment="1">
      <alignment vertical="center"/>
    </xf>
    <xf numFmtId="0" fontId="117" fillId="0" borderId="0" xfId="0" applyFont="1" applyAlignment="1">
      <alignment horizontal="center" vertical="center"/>
    </xf>
    <xf numFmtId="0" fontId="117" fillId="0" borderId="39" xfId="0" applyFont="1" applyBorder="1" applyAlignment="1">
      <alignment horizontal="center" vertical="center"/>
    </xf>
    <xf numFmtId="3" fontId="117" fillId="0" borderId="0" xfId="0" applyNumberFormat="1" applyFont="1" applyAlignment="1">
      <alignment horizontal="center" vertical="center"/>
    </xf>
    <xf numFmtId="0" fontId="82" fillId="0" borderId="39" xfId="0" applyFont="1" applyBorder="1" applyAlignment="1">
      <alignment vertical="center"/>
    </xf>
    <xf numFmtId="0" fontId="0" fillId="0" borderId="0" xfId="0" applyAlignment="1">
      <alignment vertical="center"/>
    </xf>
    <xf numFmtId="0" fontId="82" fillId="0" borderId="38" xfId="0" applyFont="1" applyBorder="1"/>
    <xf numFmtId="0" fontId="82" fillId="0" borderId="0" xfId="0" applyFont="1" applyAlignment="1">
      <alignment horizontal="center" vertical="center"/>
    </xf>
    <xf numFmtId="0" fontId="82" fillId="0" borderId="39" xfId="0" applyFont="1" applyBorder="1" applyAlignment="1">
      <alignment horizontal="center"/>
    </xf>
    <xf numFmtId="3" fontId="82" fillId="0" borderId="0" xfId="0" applyNumberFormat="1" applyFont="1"/>
    <xf numFmtId="3" fontId="82" fillId="0" borderId="39" xfId="0" applyNumberFormat="1" applyFont="1" applyBorder="1"/>
    <xf numFmtId="0" fontId="74" fillId="0" borderId="0" xfId="0" applyFont="1" applyAlignment="1">
      <alignment horizontal="center" vertical="center"/>
    </xf>
    <xf numFmtId="0" fontId="76" fillId="0" borderId="0" xfId="0" applyFont="1" applyAlignment="1">
      <alignment horizontal="center" vertical="center"/>
    </xf>
    <xf numFmtId="4" fontId="87" fillId="68" borderId="28" xfId="0" applyNumberFormat="1" applyFont="1" applyFill="1" applyBorder="1"/>
    <xf numFmtId="3" fontId="82" fillId="68" borderId="28" xfId="0" applyNumberFormat="1" applyFont="1" applyFill="1" applyBorder="1"/>
    <xf numFmtId="0" fontId="82" fillId="0" borderId="0" xfId="0" applyFont="1" applyAlignment="1">
      <alignment horizontal="right"/>
    </xf>
    <xf numFmtId="0" fontId="82" fillId="0" borderId="39" xfId="0" applyFont="1" applyBorder="1"/>
    <xf numFmtId="0" fontId="82" fillId="0" borderId="40" xfId="0" applyFont="1" applyBorder="1"/>
    <xf numFmtId="0" fontId="82" fillId="0" borderId="41" xfId="0" applyFont="1" applyBorder="1"/>
    <xf numFmtId="0" fontId="82" fillId="0" borderId="42" xfId="0" applyFont="1" applyBorder="1"/>
    <xf numFmtId="0" fontId="87" fillId="0" borderId="0" xfId="0" applyFont="1" applyAlignment="1">
      <alignment horizontal="center"/>
    </xf>
    <xf numFmtId="3" fontId="86" fillId="67" borderId="0" xfId="0" applyNumberFormat="1" applyFont="1" applyFill="1" applyAlignment="1">
      <alignment horizontal="left"/>
    </xf>
    <xf numFmtId="0" fontId="87" fillId="0" borderId="0" xfId="0" applyFont="1" applyAlignment="1">
      <alignment horizontal="right"/>
    </xf>
    <xf numFmtId="4" fontId="82" fillId="68" borderId="28" xfId="0" applyNumberFormat="1" applyFont="1" applyFill="1" applyBorder="1"/>
    <xf numFmtId="3" fontId="82" fillId="0" borderId="35" xfId="0" applyNumberFormat="1" applyFont="1" applyBorder="1"/>
    <xf numFmtId="0" fontId="0" fillId="0" borderId="36" xfId="0" applyBorder="1"/>
    <xf numFmtId="3" fontId="117" fillId="0" borderId="20" xfId="0" applyNumberFormat="1" applyFont="1" applyBorder="1" applyAlignment="1">
      <alignment horizontal="center" vertical="center"/>
    </xf>
    <xf numFmtId="0" fontId="90" fillId="0" borderId="0" xfId="0" applyFont="1" applyAlignment="1">
      <alignment horizontal="center"/>
    </xf>
    <xf numFmtId="10" fontId="82" fillId="69" borderId="28" xfId="795" applyNumberFormat="1" applyFont="1" applyFill="1" applyBorder="1" applyAlignment="1" applyProtection="1">
      <alignment vertical="center"/>
    </xf>
    <xf numFmtId="0" fontId="0" fillId="0" borderId="39" xfId="0" applyBorder="1"/>
    <xf numFmtId="0" fontId="82" fillId="0" borderId="52" xfId="0" applyFont="1" applyBorder="1" applyAlignment="1">
      <alignment horizontal="center" vertical="center"/>
    </xf>
    <xf numFmtId="0" fontId="0" fillId="0" borderId="38" xfId="0" applyBorder="1"/>
    <xf numFmtId="0" fontId="76" fillId="0" borderId="52" xfId="0" applyFont="1" applyBorder="1" applyAlignment="1">
      <alignment horizontal="center" vertical="center"/>
    </xf>
    <xf numFmtId="10" fontId="87" fillId="68" borderId="28" xfId="795" applyNumberFormat="1" applyFont="1" applyFill="1" applyBorder="1" applyProtection="1"/>
    <xf numFmtId="0" fontId="87" fillId="0" borderId="41" xfId="0" applyFont="1" applyBorder="1"/>
    <xf numFmtId="10" fontId="87" fillId="0" borderId="41" xfId="0" applyNumberFormat="1" applyFont="1" applyBorder="1"/>
    <xf numFmtId="3" fontId="86" fillId="67" borderId="41" xfId="0" applyNumberFormat="1" applyFont="1" applyFill="1" applyBorder="1"/>
    <xf numFmtId="3" fontId="86" fillId="67" borderId="42" xfId="0" applyNumberFormat="1" applyFont="1" applyFill="1" applyBorder="1"/>
    <xf numFmtId="0" fontId="112" fillId="0" borderId="41" xfId="0" applyFont="1" applyBorder="1"/>
    <xf numFmtId="0" fontId="0" fillId="0" borderId="41" xfId="0" applyBorder="1"/>
    <xf numFmtId="0" fontId="0" fillId="0" borderId="42" xfId="0" applyBorder="1"/>
    <xf numFmtId="3" fontId="82" fillId="0" borderId="36" xfId="0" applyNumberFormat="1" applyFont="1" applyBorder="1"/>
    <xf numFmtId="3" fontId="82" fillId="0" borderId="37" xfId="0" applyNumberFormat="1" applyFont="1" applyBorder="1"/>
    <xf numFmtId="3" fontId="82" fillId="0" borderId="0" xfId="0" applyNumberFormat="1" applyFont="1" applyAlignment="1">
      <alignment horizontal="center" vertical="center"/>
    </xf>
    <xf numFmtId="164" fontId="82" fillId="68" borderId="28" xfId="791" applyFont="1" applyFill="1" applyBorder="1" applyProtection="1"/>
    <xf numFmtId="0" fontId="83" fillId="0" borderId="28" xfId="0" applyFont="1" applyBorder="1" applyAlignment="1">
      <alignment vertical="center"/>
    </xf>
    <xf numFmtId="0" fontId="82" fillId="0" borderId="28" xfId="0" applyFont="1" applyBorder="1"/>
    <xf numFmtId="0" fontId="82" fillId="68" borderId="28" xfId="0" applyFont="1" applyFill="1" applyBorder="1"/>
    <xf numFmtId="0" fontId="82" fillId="69" borderId="28" xfId="457" applyFont="1" applyFill="1" applyBorder="1" applyAlignment="1">
      <alignment vertical="center"/>
    </xf>
    <xf numFmtId="3" fontId="82" fillId="0" borderId="40" xfId="0" applyNumberFormat="1" applyFont="1" applyBorder="1"/>
    <xf numFmtId="3" fontId="82" fillId="0" borderId="41" xfId="0" applyNumberFormat="1" applyFont="1" applyBorder="1"/>
    <xf numFmtId="3" fontId="82" fillId="0" borderId="42" xfId="0" applyNumberFormat="1" applyFont="1" applyBorder="1"/>
    <xf numFmtId="0" fontId="82" fillId="70" borderId="28" xfId="0" applyFont="1" applyFill="1" applyBorder="1"/>
    <xf numFmtId="0" fontId="83" fillId="0" borderId="0" xfId="0" applyFont="1"/>
    <xf numFmtId="0" fontId="118" fillId="0" borderId="0" xfId="0" applyFont="1"/>
    <xf numFmtId="0" fontId="87" fillId="0" borderId="90" xfId="0" applyFont="1" applyBorder="1" applyAlignment="1">
      <alignment horizontal="left" vertical="center"/>
    </xf>
    <xf numFmtId="0" fontId="87" fillId="0" borderId="90" xfId="0" applyFont="1" applyBorder="1" applyAlignment="1">
      <alignment horizontal="center" vertical="center"/>
    </xf>
    <xf numFmtId="0" fontId="73" fillId="0" borderId="91" xfId="792" applyBorder="1" applyAlignment="1" applyProtection="1">
      <alignment horizontal="center" vertical="center" wrapText="1"/>
    </xf>
    <xf numFmtId="0" fontId="87" fillId="0" borderId="90" xfId="0" applyFont="1" applyBorder="1" applyAlignment="1">
      <alignment vertical="center"/>
    </xf>
    <xf numFmtId="0" fontId="82" fillId="0" borderId="92" xfId="0" applyFont="1" applyBorder="1" applyAlignment="1">
      <alignment horizontal="left" vertical="top" wrapText="1"/>
    </xf>
    <xf numFmtId="0" fontId="82" fillId="0" borderId="92" xfId="0" applyFont="1" applyBorder="1" applyAlignment="1">
      <alignment horizontal="center" vertical="center"/>
    </xf>
    <xf numFmtId="0" fontId="82" fillId="0" borderId="90" xfId="0" applyFont="1" applyBorder="1" applyAlignment="1">
      <alignment vertical="top" wrapText="1"/>
    </xf>
    <xf numFmtId="0" fontId="87" fillId="0" borderId="93" xfId="0" applyFont="1" applyBorder="1" applyAlignment="1">
      <alignment vertical="center"/>
    </xf>
    <xf numFmtId="0" fontId="82" fillId="0" borderId="90" xfId="0" applyFont="1" applyBorder="1" applyAlignment="1">
      <alignment vertical="center" wrapText="1"/>
    </xf>
    <xf numFmtId="0" fontId="82" fillId="0" borderId="94" xfId="0" applyFont="1" applyBorder="1" applyAlignment="1">
      <alignment vertical="top" wrapText="1"/>
    </xf>
    <xf numFmtId="0" fontId="82" fillId="0" borderId="92" xfId="0" applyFont="1" applyBorder="1" applyAlignment="1">
      <alignment vertical="top" wrapText="1"/>
    </xf>
    <xf numFmtId="0" fontId="87" fillId="63" borderId="95" xfId="0" applyFont="1" applyFill="1" applyBorder="1" applyAlignment="1">
      <alignment vertical="center"/>
    </xf>
    <xf numFmtId="0" fontId="82" fillId="63" borderId="94" xfId="0" applyFont="1" applyFill="1" applyBorder="1" applyAlignment="1">
      <alignment vertical="top" wrapText="1"/>
    </xf>
    <xf numFmtId="0" fontId="82" fillId="63" borderId="94" xfId="0" applyFont="1" applyFill="1" applyBorder="1" applyAlignment="1">
      <alignment horizontal="center" vertical="center"/>
    </xf>
    <xf numFmtId="0" fontId="87" fillId="63" borderId="92" xfId="0" applyFont="1" applyFill="1" applyBorder="1" applyAlignment="1">
      <alignment vertical="center"/>
    </xf>
    <xf numFmtId="0" fontId="90" fillId="63" borderId="92" xfId="0" applyFont="1" applyFill="1" applyBorder="1" applyAlignment="1">
      <alignment vertical="top" wrapText="1"/>
    </xf>
    <xf numFmtId="0" fontId="82" fillId="63" borderId="92" xfId="0" applyFont="1" applyFill="1" applyBorder="1" applyAlignment="1">
      <alignment vertical="top" wrapText="1"/>
    </xf>
    <xf numFmtId="0" fontId="82" fillId="63" borderId="92" xfId="0" applyFont="1" applyFill="1" applyBorder="1" applyAlignment="1">
      <alignment horizontal="center" vertical="center" wrapText="1"/>
    </xf>
    <xf numFmtId="0" fontId="87" fillId="63" borderId="96" xfId="0" applyFont="1" applyFill="1" applyBorder="1" applyAlignment="1">
      <alignment vertical="center"/>
    </xf>
    <xf numFmtId="0" fontId="82" fillId="63" borderId="96" xfId="0" applyFont="1" applyFill="1" applyBorder="1" applyAlignment="1">
      <alignment vertical="top" wrapText="1"/>
    </xf>
    <xf numFmtId="0" fontId="82" fillId="63" borderId="96" xfId="0" applyFont="1" applyFill="1" applyBorder="1" applyAlignment="1">
      <alignment horizontal="center" vertical="center" wrapText="1"/>
    </xf>
    <xf numFmtId="0" fontId="87" fillId="63" borderId="28" xfId="0" applyFont="1" applyFill="1" applyBorder="1" applyAlignment="1">
      <alignment vertical="center"/>
    </xf>
    <xf numFmtId="0" fontId="82" fillId="0" borderId="28" xfId="0" applyFont="1" applyBorder="1" applyAlignment="1">
      <alignment wrapText="1"/>
    </xf>
    <xf numFmtId="0" fontId="82" fillId="0" borderId="28" xfId="0" applyFont="1" applyBorder="1" applyAlignment="1">
      <alignment horizontal="center" vertical="center"/>
    </xf>
    <xf numFmtId="0" fontId="87" fillId="63" borderId="28" xfId="0" applyFont="1" applyFill="1" applyBorder="1" applyAlignment="1">
      <alignment vertical="center" wrapText="1"/>
    </xf>
    <xf numFmtId="0" fontId="82" fillId="0" borderId="44" xfId="0" applyFont="1" applyBorder="1" applyAlignment="1">
      <alignment wrapText="1"/>
    </xf>
    <xf numFmtId="0" fontId="74" fillId="0" borderId="28" xfId="0" applyFont="1" applyBorder="1" applyAlignment="1">
      <alignment horizontal="center" vertical="center"/>
    </xf>
    <xf numFmtId="0" fontId="76" fillId="0" borderId="28" xfId="0" applyFont="1" applyBorder="1" applyAlignment="1">
      <alignment horizontal="center" vertical="center"/>
    </xf>
    <xf numFmtId="0" fontId="82" fillId="0" borderId="43" xfId="0" applyFont="1" applyBorder="1" applyAlignment="1">
      <alignment horizontal="center" vertical="center"/>
    </xf>
    <xf numFmtId="0" fontId="76" fillId="0" borderId="43" xfId="0" applyFont="1" applyBorder="1" applyAlignment="1">
      <alignment horizontal="center" vertical="center"/>
    </xf>
    <xf numFmtId="3" fontId="82" fillId="0" borderId="28" xfId="0" applyNumberFormat="1" applyFont="1" applyBorder="1" applyAlignment="1">
      <alignment horizontal="center" vertical="center"/>
    </xf>
    <xf numFmtId="0" fontId="82" fillId="0" borderId="28" xfId="0" applyFont="1" applyBorder="1" applyAlignment="1">
      <alignment vertical="center" wrapText="1"/>
    </xf>
    <xf numFmtId="3" fontId="128" fillId="0" borderId="0" xfId="0" applyNumberFormat="1" applyFont="1"/>
    <xf numFmtId="0" fontId="129" fillId="0" borderId="28" xfId="0" applyFont="1" applyBorder="1" applyAlignment="1">
      <alignment wrapText="1"/>
    </xf>
    <xf numFmtId="0" fontId="5" fillId="63" borderId="0" xfId="809" applyFill="1" applyBorder="1" applyProtection="1"/>
    <xf numFmtId="187" fontId="0" fillId="63" borderId="28" xfId="791" applyNumberFormat="1" applyFont="1" applyFill="1" applyBorder="1" applyAlignment="1" applyProtection="1">
      <alignment horizontal="center" vertical="center"/>
    </xf>
    <xf numFmtId="187" fontId="0" fillId="72" borderId="28" xfId="791" applyNumberFormat="1" applyFont="1" applyFill="1" applyBorder="1" applyAlignment="1" applyProtection="1">
      <alignment horizontal="center" vertical="center"/>
    </xf>
    <xf numFmtId="187" fontId="16" fillId="73" borderId="28" xfId="791" applyNumberFormat="1" applyFont="1" applyFill="1" applyBorder="1" applyAlignment="1" applyProtection="1">
      <alignment horizontal="center" vertical="center"/>
    </xf>
    <xf numFmtId="187" fontId="0" fillId="63" borderId="0" xfId="791" applyNumberFormat="1" applyFont="1" applyFill="1" applyBorder="1" applyAlignment="1" applyProtection="1">
      <alignment horizontal="center" vertical="center"/>
    </xf>
    <xf numFmtId="9" fontId="2" fillId="63" borderId="49" xfId="795" applyFont="1" applyFill="1" applyBorder="1" applyAlignment="1" applyProtection="1">
      <alignment horizontal="center" vertical="center"/>
      <protection locked="0"/>
    </xf>
    <xf numFmtId="9" fontId="96" fillId="63" borderId="0" xfId="795" applyFont="1" applyFill="1" applyProtection="1"/>
    <xf numFmtId="3" fontId="87" fillId="0" borderId="0" xfId="0" applyNumberFormat="1" applyFont="1"/>
    <xf numFmtId="3" fontId="82" fillId="0" borderId="0" xfId="0" applyNumberFormat="1" applyFont="1" applyAlignment="1">
      <alignment horizontal="right" vertical="center"/>
    </xf>
    <xf numFmtId="0" fontId="2" fillId="0" borderId="0" xfId="0" applyFont="1"/>
    <xf numFmtId="0" fontId="80" fillId="0" borderId="0" xfId="0" applyFont="1"/>
    <xf numFmtId="184" fontId="0" fillId="0" borderId="0" xfId="791" applyNumberFormat="1" applyFont="1" applyBorder="1" applyProtection="1"/>
    <xf numFmtId="0" fontId="5" fillId="0" borderId="0" xfId="0" applyFont="1"/>
    <xf numFmtId="3" fontId="0" fillId="0" borderId="0" xfId="0" applyNumberFormat="1"/>
    <xf numFmtId="0" fontId="93" fillId="63" borderId="0" xfId="0" applyFont="1" applyFill="1"/>
    <xf numFmtId="0" fontId="93" fillId="63" borderId="0" xfId="0" applyFont="1" applyFill="1" applyAlignment="1">
      <alignment horizontal="left" vertical="center"/>
    </xf>
    <xf numFmtId="0" fontId="14" fillId="63" borderId="0" xfId="0" applyFont="1" applyFill="1" applyAlignment="1">
      <alignment vertical="center"/>
    </xf>
    <xf numFmtId="0" fontId="95" fillId="63" borderId="0" xfId="0" applyFont="1" applyFill="1"/>
    <xf numFmtId="0" fontId="93" fillId="63" borderId="23" xfId="0" applyFont="1" applyFill="1" applyBorder="1"/>
    <xf numFmtId="0" fontId="93" fillId="63" borderId="23" xfId="0" applyFont="1" applyFill="1" applyBorder="1" applyAlignment="1">
      <alignment horizontal="left" vertical="center"/>
    </xf>
    <xf numFmtId="0" fontId="94" fillId="0" borderId="23" xfId="0" applyFont="1" applyBorder="1" applyAlignment="1">
      <alignment vertical="center"/>
    </xf>
    <xf numFmtId="0" fontId="95" fillId="63" borderId="23" xfId="0" applyFont="1" applyFill="1" applyBorder="1"/>
    <xf numFmtId="0" fontId="97" fillId="63" borderId="0" xfId="0" applyFont="1" applyFill="1" applyAlignment="1">
      <alignment horizontal="center"/>
    </xf>
    <xf numFmtId="0" fontId="0" fillId="63" borderId="0" xfId="0" applyFill="1"/>
    <xf numFmtId="0" fontId="96" fillId="0" borderId="0" xfId="0" applyFont="1"/>
    <xf numFmtId="0" fontId="99" fillId="63" borderId="54" xfId="0" applyFont="1" applyFill="1" applyBorder="1" applyAlignment="1">
      <alignment horizontal="center" vertical="center"/>
    </xf>
    <xf numFmtId="0" fontId="78" fillId="63" borderId="54" xfId="0" applyFont="1" applyFill="1" applyBorder="1" applyAlignment="1">
      <alignment horizontal="center" vertical="center" wrapText="1"/>
    </xf>
    <xf numFmtId="0" fontId="0" fillId="63" borderId="0" xfId="0" applyFill="1" applyAlignment="1">
      <alignment horizontal="center" vertical="center"/>
    </xf>
    <xf numFmtId="0" fontId="96" fillId="63" borderId="0" xfId="0" applyFont="1" applyFill="1" applyAlignment="1">
      <alignment horizontal="center" vertical="center"/>
    </xf>
    <xf numFmtId="0" fontId="101" fillId="63" borderId="58" xfId="0" applyFont="1" applyFill="1" applyBorder="1" applyAlignment="1">
      <alignment horizontal="center" vertical="center"/>
    </xf>
    <xf numFmtId="0" fontId="102" fillId="63" borderId="58" xfId="0" applyFont="1" applyFill="1" applyBorder="1" applyAlignment="1">
      <alignment horizontal="center" vertical="center" wrapText="1"/>
    </xf>
    <xf numFmtId="0" fontId="78" fillId="63" borderId="0" xfId="0" applyFont="1" applyFill="1" applyAlignment="1">
      <alignment horizontal="center" vertical="center" wrapText="1"/>
    </xf>
    <xf numFmtId="0" fontId="14" fillId="63" borderId="0" xfId="0" applyFont="1" applyFill="1" applyAlignment="1">
      <alignment horizontal="center" vertical="center"/>
    </xf>
    <xf numFmtId="0" fontId="101" fillId="63" borderId="0" xfId="0" applyFont="1" applyFill="1" applyAlignment="1">
      <alignment horizontal="center" vertical="center"/>
    </xf>
    <xf numFmtId="0" fontId="96" fillId="63" borderId="66" xfId="0" applyFont="1" applyFill="1" applyBorder="1" applyAlignment="1">
      <alignment vertical="center"/>
    </xf>
    <xf numFmtId="0" fontId="78" fillId="63" borderId="0" xfId="0" applyFont="1" applyFill="1" applyAlignment="1">
      <alignment horizontal="center" vertical="center"/>
    </xf>
    <xf numFmtId="0" fontId="0" fillId="71" borderId="28" xfId="0" applyFill="1" applyBorder="1" applyAlignment="1">
      <alignment horizontal="center" vertical="center"/>
    </xf>
    <xf numFmtId="0" fontId="96" fillId="63" borderId="58" xfId="0" applyFont="1" applyFill="1" applyBorder="1" applyAlignment="1">
      <alignment vertical="center"/>
    </xf>
    <xf numFmtId="0" fontId="96" fillId="63" borderId="97" xfId="0" applyFont="1" applyFill="1" applyBorder="1" applyAlignment="1">
      <alignment vertical="center"/>
    </xf>
    <xf numFmtId="0" fontId="103" fillId="63" borderId="60" xfId="0" applyFont="1" applyFill="1" applyBorder="1" applyAlignment="1">
      <alignment horizontal="center" vertical="center"/>
    </xf>
    <xf numFmtId="0" fontId="105" fillId="63" borderId="0" xfId="0" applyFont="1" applyFill="1" applyAlignment="1">
      <alignment horizontal="center" vertical="center"/>
    </xf>
    <xf numFmtId="0" fontId="77" fillId="63" borderId="0" xfId="0" applyFont="1" applyFill="1"/>
    <xf numFmtId="0" fontId="77" fillId="63" borderId="66" xfId="0" applyFont="1" applyFill="1" applyBorder="1" applyAlignment="1">
      <alignment vertical="center"/>
    </xf>
    <xf numFmtId="0" fontId="78" fillId="73" borderId="61" xfId="0" applyFont="1" applyFill="1" applyBorder="1" applyAlignment="1">
      <alignment vertical="center"/>
    </xf>
    <xf numFmtId="0" fontId="96" fillId="63" borderId="46" xfId="0" applyFont="1" applyFill="1" applyBorder="1"/>
    <xf numFmtId="0" fontId="78" fillId="63" borderId="0" xfId="0" applyFont="1" applyFill="1" applyAlignment="1">
      <alignment horizontal="center"/>
    </xf>
    <xf numFmtId="0" fontId="96" fillId="63" borderId="54" xfId="0" applyFont="1" applyFill="1" applyBorder="1" applyAlignment="1">
      <alignment vertical="center"/>
    </xf>
    <xf numFmtId="0" fontId="96" fillId="63" borderId="63" xfId="0" applyFont="1" applyFill="1" applyBorder="1" applyAlignment="1">
      <alignment vertical="center"/>
    </xf>
    <xf numFmtId="0" fontId="96" fillId="63" borderId="98" xfId="0" applyFont="1" applyFill="1" applyBorder="1" applyAlignment="1">
      <alignment vertical="center"/>
    </xf>
    <xf numFmtId="0" fontId="96" fillId="63" borderId="64" xfId="0" applyFont="1" applyFill="1" applyBorder="1" applyAlignment="1">
      <alignment vertical="center"/>
    </xf>
    <xf numFmtId="0" fontId="96" fillId="63" borderId="63" xfId="0" quotePrefix="1" applyFont="1" applyFill="1" applyBorder="1" applyAlignment="1">
      <alignment vertical="center"/>
    </xf>
    <xf numFmtId="0" fontId="78" fillId="73" borderId="58" xfId="0" applyFont="1" applyFill="1" applyBorder="1" applyAlignment="1">
      <alignment vertical="center"/>
    </xf>
    <xf numFmtId="0" fontId="105" fillId="73" borderId="58" xfId="0" applyFont="1" applyFill="1" applyBorder="1" applyAlignment="1">
      <alignment vertical="center"/>
    </xf>
    <xf numFmtId="0" fontId="78" fillId="73" borderId="60" xfId="0" applyFont="1" applyFill="1" applyBorder="1" applyAlignment="1">
      <alignment horizontal="center" vertical="center"/>
    </xf>
    <xf numFmtId="0" fontId="96" fillId="63" borderId="87" xfId="0" applyFont="1" applyFill="1" applyBorder="1" applyAlignment="1">
      <alignment vertical="center"/>
    </xf>
    <xf numFmtId="0" fontId="78" fillId="63" borderId="99" xfId="0" applyFont="1" applyFill="1" applyBorder="1" applyAlignment="1">
      <alignment horizontal="center" vertical="center"/>
    </xf>
    <xf numFmtId="0" fontId="96" fillId="63" borderId="46" xfId="0" applyFont="1" applyFill="1" applyBorder="1" applyAlignment="1">
      <alignment vertical="center"/>
    </xf>
    <xf numFmtId="0" fontId="115" fillId="0" borderId="46" xfId="0" applyFont="1" applyBorder="1"/>
    <xf numFmtId="0" fontId="108" fillId="63" borderId="0" xfId="0" applyFont="1" applyFill="1" applyAlignment="1">
      <alignment horizontal="center"/>
    </xf>
    <xf numFmtId="0" fontId="96" fillId="63" borderId="60" xfId="0" applyFont="1" applyFill="1" applyBorder="1" applyAlignment="1">
      <alignment vertical="center"/>
    </xf>
    <xf numFmtId="0" fontId="116" fillId="0" borderId="54" xfId="0" applyFont="1" applyBorder="1" applyAlignment="1">
      <alignment vertical="center"/>
    </xf>
    <xf numFmtId="0" fontId="103" fillId="0" borderId="54" xfId="0" applyFont="1" applyBorder="1" applyAlignment="1">
      <alignment horizontal="center" vertical="center"/>
    </xf>
    <xf numFmtId="0" fontId="116" fillId="0" borderId="61" xfId="0" applyFont="1" applyBorder="1" applyAlignment="1">
      <alignment vertical="center"/>
    </xf>
    <xf numFmtId="0" fontId="103" fillId="63" borderId="61" xfId="0" applyFont="1" applyFill="1" applyBorder="1" applyAlignment="1">
      <alignment horizontal="center" vertical="center"/>
    </xf>
    <xf numFmtId="0" fontId="78" fillId="0" borderId="79" xfId="0" applyFont="1" applyBorder="1" applyAlignment="1">
      <alignment horizontal="center" vertical="center"/>
    </xf>
    <xf numFmtId="0" fontId="116" fillId="0" borderId="58" xfId="0" applyFont="1" applyBorder="1" applyAlignment="1">
      <alignment vertical="center"/>
    </xf>
    <xf numFmtId="0" fontId="78" fillId="0" borderId="60" xfId="0" applyFont="1" applyBorder="1" applyAlignment="1">
      <alignment horizontal="center" vertical="center"/>
    </xf>
    <xf numFmtId="0" fontId="116" fillId="0" borderId="97" xfId="0" applyFont="1" applyBorder="1" applyAlignment="1">
      <alignment vertical="center"/>
    </xf>
    <xf numFmtId="0" fontId="103" fillId="63" borderId="99" xfId="0" applyFont="1" applyFill="1" applyBorder="1" applyAlignment="1">
      <alignment horizontal="center" vertical="center"/>
    </xf>
    <xf numFmtId="0" fontId="116" fillId="0" borderId="60" xfId="0" applyFont="1" applyBorder="1" applyAlignment="1">
      <alignment vertical="center"/>
    </xf>
    <xf numFmtId="0" fontId="103" fillId="0" borderId="61" xfId="0" applyFont="1" applyBorder="1" applyAlignment="1">
      <alignment horizontal="center" vertical="center"/>
    </xf>
    <xf numFmtId="0" fontId="78" fillId="73" borderId="99" xfId="0" applyFont="1" applyFill="1" applyBorder="1" applyAlignment="1">
      <alignment vertical="center" wrapText="1"/>
    </xf>
    <xf numFmtId="0" fontId="78" fillId="73" borderId="99" xfId="0" applyFont="1" applyFill="1" applyBorder="1" applyAlignment="1">
      <alignment horizontal="center" vertical="center" wrapText="1"/>
    </xf>
    <xf numFmtId="0" fontId="78" fillId="63" borderId="99" xfId="0" applyFont="1" applyFill="1" applyBorder="1" applyAlignment="1">
      <alignment horizontal="center" vertical="center" wrapText="1"/>
    </xf>
    <xf numFmtId="0" fontId="96" fillId="63" borderId="0" xfId="0" applyFont="1" applyFill="1" applyAlignment="1">
      <alignment wrapText="1"/>
    </xf>
    <xf numFmtId="0" fontId="116" fillId="0" borderId="56" xfId="0" applyFont="1" applyBorder="1" applyAlignment="1">
      <alignment vertical="center"/>
    </xf>
    <xf numFmtId="0" fontId="78" fillId="63" borderId="56" xfId="0" applyFont="1" applyFill="1" applyBorder="1" applyAlignment="1">
      <alignment horizontal="center" vertical="center"/>
    </xf>
    <xf numFmtId="0" fontId="116" fillId="0" borderId="70" xfId="0" applyFont="1" applyBorder="1" applyAlignment="1">
      <alignment vertical="center"/>
    </xf>
    <xf numFmtId="0" fontId="103" fillId="63" borderId="79" xfId="0" applyFont="1" applyFill="1" applyBorder="1" applyAlignment="1">
      <alignment horizontal="center" vertical="center"/>
    </xf>
    <xf numFmtId="0" fontId="78" fillId="73" borderId="64" xfId="0" applyFont="1" applyFill="1" applyBorder="1" applyAlignment="1">
      <alignment vertical="center" wrapText="1"/>
    </xf>
    <xf numFmtId="0" fontId="78" fillId="73" borderId="64" xfId="0" applyFont="1" applyFill="1" applyBorder="1" applyAlignment="1">
      <alignment horizontal="center" vertical="center"/>
    </xf>
    <xf numFmtId="0" fontId="78" fillId="0" borderId="100" xfId="0" applyFont="1" applyBorder="1" applyAlignment="1">
      <alignment horizontal="center" vertical="center"/>
    </xf>
    <xf numFmtId="0" fontId="115" fillId="63" borderId="46" xfId="0" applyFont="1" applyFill="1" applyBorder="1"/>
    <xf numFmtId="0" fontId="96" fillId="63" borderId="53" xfId="0" applyFont="1" applyFill="1" applyBorder="1" applyAlignment="1">
      <alignment vertical="center"/>
    </xf>
    <xf numFmtId="0" fontId="77" fillId="63" borderId="57" xfId="0" applyFont="1" applyFill="1" applyBorder="1" applyAlignment="1">
      <alignment vertical="center"/>
    </xf>
    <xf numFmtId="0" fontId="96" fillId="63" borderId="57" xfId="0" applyFont="1" applyFill="1" applyBorder="1" applyAlignment="1">
      <alignment vertical="center"/>
    </xf>
    <xf numFmtId="0" fontId="96" fillId="63" borderId="67" xfId="0" applyFont="1" applyFill="1" applyBorder="1" applyAlignment="1">
      <alignment vertical="center"/>
    </xf>
    <xf numFmtId="0" fontId="107" fillId="63" borderId="0" xfId="0" applyFont="1" applyFill="1" applyAlignment="1">
      <alignment horizontal="center" vertical="center"/>
    </xf>
    <xf numFmtId="0" fontId="78" fillId="73" borderId="67" xfId="0" applyFont="1" applyFill="1" applyBorder="1" applyAlignment="1">
      <alignment vertical="center"/>
    </xf>
    <xf numFmtId="0" fontId="77" fillId="74" borderId="47" xfId="0" applyFont="1" applyFill="1" applyBorder="1"/>
    <xf numFmtId="0" fontId="96" fillId="63" borderId="59" xfId="0" applyFont="1" applyFill="1" applyBorder="1" applyAlignment="1">
      <alignment vertical="center"/>
    </xf>
    <xf numFmtId="0" fontId="78" fillId="73" borderId="57" xfId="0" applyFont="1" applyFill="1" applyBorder="1" applyAlignment="1">
      <alignment vertical="center"/>
    </xf>
    <xf numFmtId="0" fontId="105" fillId="73" borderId="57" xfId="0" applyFont="1" applyFill="1" applyBorder="1" applyAlignment="1">
      <alignment vertical="center"/>
    </xf>
    <xf numFmtId="0" fontId="96" fillId="73" borderId="57" xfId="0" applyFont="1" applyFill="1" applyBorder="1" applyAlignment="1">
      <alignment vertical="center"/>
    </xf>
    <xf numFmtId="0" fontId="96" fillId="75" borderId="57" xfId="0" applyFont="1" applyFill="1" applyBorder="1" applyAlignment="1">
      <alignment vertical="center"/>
    </xf>
    <xf numFmtId="0" fontId="78" fillId="76" borderId="68" xfId="0" applyFont="1" applyFill="1" applyBorder="1" applyAlignment="1">
      <alignment vertical="center"/>
    </xf>
    <xf numFmtId="0" fontId="96" fillId="63" borderId="84" xfId="0" applyFont="1" applyFill="1" applyBorder="1"/>
    <xf numFmtId="0" fontId="78" fillId="76" borderId="74" xfId="0" applyFont="1" applyFill="1" applyBorder="1" applyAlignment="1">
      <alignment vertical="center"/>
    </xf>
    <xf numFmtId="0" fontId="96" fillId="63" borderId="76" xfId="0" applyFont="1" applyFill="1" applyBorder="1"/>
    <xf numFmtId="0" fontId="96" fillId="75" borderId="53" xfId="0" applyFont="1" applyFill="1" applyBorder="1" applyAlignment="1">
      <alignment vertical="center"/>
    </xf>
    <xf numFmtId="0" fontId="96" fillId="63" borderId="73" xfId="0" applyFont="1" applyFill="1" applyBorder="1"/>
    <xf numFmtId="0" fontId="96" fillId="75" borderId="67" xfId="0" applyFont="1" applyFill="1" applyBorder="1" applyAlignment="1">
      <alignment vertical="center"/>
    </xf>
    <xf numFmtId="0" fontId="96" fillId="63" borderId="14" xfId="0" applyFont="1" applyFill="1" applyBorder="1"/>
    <xf numFmtId="0" fontId="107" fillId="66" borderId="62" xfId="0" applyFont="1" applyFill="1" applyBorder="1" applyAlignment="1">
      <alignment vertical="center"/>
    </xf>
    <xf numFmtId="0" fontId="109" fillId="63" borderId="14" xfId="0" applyFont="1" applyFill="1" applyBorder="1" applyAlignment="1">
      <alignment horizontal="center" vertical="center"/>
    </xf>
    <xf numFmtId="0" fontId="115" fillId="0" borderId="72" xfId="0" applyFont="1" applyBorder="1"/>
    <xf numFmtId="0" fontId="116" fillId="75" borderId="34" xfId="0" applyFont="1" applyFill="1" applyBorder="1" applyAlignment="1">
      <alignment vertical="center"/>
    </xf>
    <xf numFmtId="0" fontId="78" fillId="75" borderId="56" xfId="0" applyFont="1" applyFill="1" applyBorder="1" applyAlignment="1">
      <alignment horizontal="center"/>
    </xf>
    <xf numFmtId="0" fontId="96" fillId="0" borderId="103" xfId="0" applyFont="1" applyBorder="1"/>
    <xf numFmtId="0" fontId="96" fillId="75" borderId="105" xfId="0" applyFont="1" applyFill="1" applyBorder="1" applyAlignment="1">
      <alignment horizontal="left" vertical="center"/>
    </xf>
    <xf numFmtId="0" fontId="78" fillId="75" borderId="106" xfId="0" applyFont="1" applyFill="1" applyBorder="1" applyAlignment="1">
      <alignment horizontal="center"/>
    </xf>
    <xf numFmtId="0" fontId="96" fillId="63" borderId="107" xfId="0" applyFont="1" applyFill="1" applyBorder="1"/>
    <xf numFmtId="0" fontId="101" fillId="63" borderId="0" xfId="0" applyFont="1" applyFill="1"/>
    <xf numFmtId="0" fontId="148" fillId="75" borderId="110" xfId="0" applyFont="1" applyFill="1" applyBorder="1" applyAlignment="1">
      <alignment horizontal="left" vertical="center" indent="4"/>
    </xf>
    <xf numFmtId="0" fontId="78" fillId="75" borderId="99" xfId="0" applyFont="1" applyFill="1" applyBorder="1" applyAlignment="1">
      <alignment horizontal="center"/>
    </xf>
    <xf numFmtId="0" fontId="148" fillId="75" borderId="113" xfId="0" applyFont="1" applyFill="1" applyBorder="1" applyAlignment="1">
      <alignment horizontal="left" vertical="center" indent="4"/>
    </xf>
    <xf numFmtId="0" fontId="78" fillId="75" borderId="114" xfId="0" applyFont="1" applyFill="1" applyBorder="1" applyAlignment="1">
      <alignment horizontal="center"/>
    </xf>
    <xf numFmtId="0" fontId="96" fillId="75" borderId="34" xfId="0" applyFont="1" applyFill="1" applyBorder="1" applyAlignment="1">
      <alignment horizontal="left" vertical="center"/>
    </xf>
    <xf numFmtId="0" fontId="96" fillId="0" borderId="107" xfId="0" applyFont="1" applyBorder="1"/>
    <xf numFmtId="0" fontId="96" fillId="75" borderId="117" xfId="0" applyFont="1" applyFill="1" applyBorder="1" applyAlignment="1">
      <alignment horizontal="left" vertical="center"/>
    </xf>
    <xf numFmtId="0" fontId="78" fillId="75" borderId="87" xfId="0" applyFont="1" applyFill="1" applyBorder="1" applyAlignment="1">
      <alignment horizontal="center"/>
    </xf>
    <xf numFmtId="0" fontId="96" fillId="0" borderId="118" xfId="0" applyFont="1" applyBorder="1"/>
    <xf numFmtId="0" fontId="148" fillId="75" borderId="46" xfId="0" applyFont="1" applyFill="1" applyBorder="1" applyAlignment="1">
      <alignment horizontal="left" vertical="center" indent="4"/>
    </xf>
    <xf numFmtId="0" fontId="78" fillId="75" borderId="64" xfId="0" applyFont="1" applyFill="1" applyBorder="1" applyAlignment="1">
      <alignment horizontal="center"/>
    </xf>
    <xf numFmtId="0" fontId="148" fillId="75" borderId="114" xfId="0" applyFont="1" applyFill="1" applyBorder="1" applyAlignment="1">
      <alignment horizontal="left" vertical="center" indent="4"/>
    </xf>
    <xf numFmtId="0" fontId="78" fillId="75" borderId="60" xfId="0" applyFont="1" applyFill="1" applyBorder="1" applyAlignment="1">
      <alignment horizontal="center"/>
    </xf>
    <xf numFmtId="0" fontId="91" fillId="63" borderId="0" xfId="0" applyFont="1" applyFill="1" applyAlignment="1" applyProtection="1">
      <alignment horizontal="left" vertical="center"/>
      <protection hidden="1"/>
    </xf>
    <xf numFmtId="0" fontId="92" fillId="0" borderId="0" xfId="0" applyFont="1"/>
    <xf numFmtId="0" fontId="73" fillId="0" borderId="0" xfId="792" applyAlignment="1" applyProtection="1">
      <alignment horizontal="left" indent="1"/>
    </xf>
    <xf numFmtId="188" fontId="93" fillId="63" borderId="0" xfId="791" applyNumberFormat="1" applyFont="1" applyFill="1" applyProtection="1"/>
    <xf numFmtId="188" fontId="14" fillId="63" borderId="0" xfId="791" applyNumberFormat="1" applyFont="1" applyFill="1" applyAlignment="1" applyProtection="1">
      <alignment vertical="center"/>
    </xf>
    <xf numFmtId="188" fontId="95" fillId="63" borderId="0" xfId="791" applyNumberFormat="1" applyFont="1" applyFill="1" applyAlignment="1" applyProtection="1">
      <alignment vertical="center"/>
    </xf>
    <xf numFmtId="188" fontId="94" fillId="0" borderId="23" xfId="791" applyNumberFormat="1" applyFont="1" applyBorder="1" applyAlignment="1" applyProtection="1">
      <alignment vertical="center" wrapText="1"/>
    </xf>
    <xf numFmtId="188" fontId="98" fillId="63" borderId="0" xfId="791" applyNumberFormat="1" applyFont="1" applyFill="1" applyAlignment="1" applyProtection="1">
      <alignment horizontal="center"/>
    </xf>
    <xf numFmtId="188" fontId="101" fillId="63" borderId="0" xfId="791" applyNumberFormat="1" applyFont="1" applyFill="1" applyAlignment="1" applyProtection="1">
      <alignment horizontal="center"/>
    </xf>
    <xf numFmtId="188" fontId="103" fillId="63" borderId="54" xfId="791" applyNumberFormat="1" applyFont="1" applyFill="1" applyBorder="1" applyAlignment="1" applyProtection="1">
      <alignment horizontal="center" vertical="center" wrapText="1"/>
    </xf>
    <xf numFmtId="188" fontId="103" fillId="0" borderId="54" xfId="791" applyNumberFormat="1" applyFont="1" applyBorder="1" applyAlignment="1" applyProtection="1">
      <alignment horizontal="center" vertical="center" wrapText="1"/>
    </xf>
    <xf numFmtId="188" fontId="2" fillId="63" borderId="60" xfId="791" applyNumberFormat="1" applyFont="1" applyFill="1" applyBorder="1" applyAlignment="1" applyProtection="1">
      <alignment horizontal="center" vertical="center"/>
      <protection locked="0"/>
    </xf>
    <xf numFmtId="188" fontId="2" fillId="72" borderId="60" xfId="791" applyNumberFormat="1" applyFont="1" applyFill="1" applyBorder="1" applyAlignment="1" applyProtection="1">
      <alignment horizontal="center" vertical="center"/>
    </xf>
    <xf numFmtId="188" fontId="7" fillId="3" borderId="60" xfId="791" applyNumberFormat="1" applyFont="1" applyFill="1" applyBorder="1" applyAlignment="1" applyProtection="1">
      <alignment horizontal="center" vertical="center"/>
    </xf>
    <xf numFmtId="188" fontId="0" fillId="0" borderId="60" xfId="791" applyNumberFormat="1" applyFont="1" applyBorder="1" applyAlignment="1" applyProtection="1">
      <alignment horizontal="center" vertical="center"/>
    </xf>
    <xf numFmtId="188" fontId="0" fillId="71" borderId="69" xfId="791" applyNumberFormat="1" applyFont="1" applyFill="1" applyBorder="1" applyAlignment="1" applyProtection="1">
      <alignment horizontal="center" vertical="center"/>
    </xf>
    <xf numFmtId="188" fontId="16" fillId="73" borderId="61" xfId="791" applyNumberFormat="1" applyFont="1" applyFill="1" applyBorder="1" applyAlignment="1" applyProtection="1">
      <alignment horizontal="center" vertical="center"/>
    </xf>
    <xf numFmtId="188" fontId="2" fillId="63" borderId="0" xfId="791" applyNumberFormat="1" applyFont="1" applyFill="1" applyAlignment="1" applyProtection="1">
      <alignment horizontal="center"/>
    </xf>
    <xf numFmtId="188" fontId="2" fillId="63" borderId="78" xfId="791" applyNumberFormat="1" applyFont="1" applyFill="1" applyBorder="1" applyAlignment="1" applyProtection="1">
      <alignment horizontal="center"/>
    </xf>
    <xf numFmtId="188" fontId="2" fillId="63" borderId="54" xfId="791" applyNumberFormat="1" applyFont="1" applyFill="1" applyBorder="1" applyAlignment="1" applyProtection="1">
      <alignment horizontal="center" vertical="center"/>
      <protection locked="0"/>
    </xf>
    <xf numFmtId="188" fontId="2" fillId="72" borderId="86" xfId="791" applyNumberFormat="1" applyFont="1" applyFill="1" applyBorder="1" applyAlignment="1" applyProtection="1">
      <alignment horizontal="center" vertical="center"/>
    </xf>
    <xf numFmtId="188" fontId="2" fillId="72" borderId="71" xfId="791" applyNumberFormat="1" applyFont="1" applyFill="1" applyBorder="1" applyAlignment="1" applyProtection="1">
      <alignment horizontal="center" vertical="center"/>
    </xf>
    <xf numFmtId="188" fontId="2" fillId="63" borderId="63" xfId="791" applyNumberFormat="1" applyFont="1" applyFill="1" applyBorder="1" applyAlignment="1" applyProtection="1">
      <alignment horizontal="center" vertical="center"/>
      <protection locked="0"/>
    </xf>
    <xf numFmtId="188" fontId="2" fillId="72" borderId="89" xfId="791" applyNumberFormat="1" applyFont="1" applyFill="1" applyBorder="1" applyAlignment="1" applyProtection="1">
      <alignment horizontal="center" vertical="center"/>
    </xf>
    <xf numFmtId="188" fontId="2" fillId="72" borderId="65" xfId="791" applyNumberFormat="1" applyFont="1" applyFill="1" applyBorder="1" applyAlignment="1" applyProtection="1">
      <alignment horizontal="center" vertical="center"/>
    </xf>
    <xf numFmtId="188" fontId="2" fillId="72" borderId="88" xfId="791" applyNumberFormat="1" applyFont="1" applyFill="1" applyBorder="1" applyAlignment="1" applyProtection="1">
      <alignment horizontal="center" vertical="center"/>
    </xf>
    <xf numFmtId="188" fontId="2" fillId="63" borderId="66" xfId="791" applyNumberFormat="1" applyFont="1" applyFill="1" applyBorder="1" applyAlignment="1" applyProtection="1">
      <alignment horizontal="center" vertical="center"/>
      <protection locked="0"/>
    </xf>
    <xf numFmtId="188" fontId="2" fillId="72" borderId="63" xfId="791" applyNumberFormat="1" applyFont="1" applyFill="1" applyBorder="1" applyAlignment="1" applyProtection="1">
      <alignment horizontal="center" vertical="center"/>
      <protection locked="0"/>
    </xf>
    <xf numFmtId="188" fontId="2" fillId="63" borderId="58" xfId="791" applyNumberFormat="1" applyFont="1" applyFill="1" applyBorder="1" applyAlignment="1" applyProtection="1">
      <alignment horizontal="center" vertical="center"/>
      <protection locked="0"/>
    </xf>
    <xf numFmtId="188" fontId="7" fillId="3" borderId="60" xfId="791" applyNumberFormat="1" applyFont="1" applyFill="1" applyBorder="1" applyAlignment="1" applyProtection="1">
      <alignment horizontal="center"/>
    </xf>
    <xf numFmtId="188" fontId="2" fillId="72" borderId="58" xfId="791" applyNumberFormat="1" applyFont="1" applyFill="1" applyBorder="1" applyAlignment="1" applyProtection="1">
      <alignment horizontal="center" vertical="center"/>
    </xf>
    <xf numFmtId="188" fontId="2" fillId="72" borderId="85" xfId="791" applyNumberFormat="1" applyFont="1" applyFill="1" applyBorder="1" applyAlignment="1" applyProtection="1">
      <alignment horizontal="center" vertical="center"/>
    </xf>
    <xf numFmtId="188" fontId="16" fillId="73" borderId="58" xfId="791" applyNumberFormat="1" applyFont="1" applyFill="1" applyBorder="1" applyAlignment="1" applyProtection="1">
      <alignment horizontal="center" vertical="center"/>
    </xf>
    <xf numFmtId="188" fontId="16" fillId="73" borderId="85" xfId="791" applyNumberFormat="1" applyFont="1" applyFill="1" applyBorder="1" applyAlignment="1" applyProtection="1">
      <alignment horizontal="center" vertical="center"/>
    </xf>
    <xf numFmtId="188" fontId="7" fillId="3" borderId="58" xfId="791" applyNumberFormat="1" applyFont="1" applyFill="1" applyBorder="1" applyAlignment="1" applyProtection="1">
      <alignment horizontal="center" vertical="center"/>
      <protection locked="0"/>
    </xf>
    <xf numFmtId="188" fontId="2" fillId="72" borderId="71" xfId="791" applyNumberFormat="1" applyFont="1" applyFill="1" applyBorder="1" applyAlignment="1" applyProtection="1">
      <alignment horizontal="center" vertical="center"/>
      <protection locked="0"/>
    </xf>
    <xf numFmtId="188" fontId="7" fillId="3" borderId="87" xfId="791" applyNumberFormat="1" applyFont="1" applyFill="1" applyBorder="1" applyAlignment="1" applyProtection="1">
      <alignment horizontal="center" vertical="center"/>
      <protection locked="0"/>
    </xf>
    <xf numFmtId="188" fontId="2" fillId="72" borderId="83" xfId="791" applyNumberFormat="1" applyFont="1" applyFill="1" applyBorder="1" applyAlignment="1" applyProtection="1">
      <alignment horizontal="center" vertical="center"/>
      <protection locked="0"/>
    </xf>
    <xf numFmtId="188" fontId="2" fillId="63" borderId="0" xfId="791" applyNumberFormat="1" applyFont="1" applyFill="1" applyBorder="1" applyAlignment="1" applyProtection="1">
      <alignment horizontal="center" vertical="center"/>
    </xf>
    <xf numFmtId="188" fontId="108" fillId="63" borderId="0" xfId="791" applyNumberFormat="1" applyFont="1" applyFill="1" applyAlignment="1" applyProtection="1">
      <alignment horizontal="center"/>
    </xf>
    <xf numFmtId="188" fontId="108" fillId="63" borderId="72" xfId="791" applyNumberFormat="1" applyFont="1" applyFill="1" applyBorder="1" applyAlignment="1" applyProtection="1">
      <alignment horizontal="center"/>
    </xf>
    <xf numFmtId="188" fontId="2" fillId="81" borderId="61" xfId="791" applyNumberFormat="1" applyFont="1" applyFill="1" applyBorder="1" applyAlignment="1" applyProtection="1">
      <alignment horizontal="center" vertical="center"/>
      <protection locked="0"/>
    </xf>
    <xf numFmtId="188" fontId="2" fillId="81" borderId="64" xfId="791" applyNumberFormat="1" applyFont="1" applyFill="1" applyBorder="1" applyAlignment="1" applyProtection="1">
      <alignment horizontal="center" vertical="center"/>
      <protection locked="0"/>
    </xf>
    <xf numFmtId="188" fontId="2" fillId="72" borderId="61" xfId="791" applyNumberFormat="1" applyFont="1" applyFill="1" applyBorder="1" applyAlignment="1" applyProtection="1">
      <alignment horizontal="center" vertical="center"/>
    </xf>
    <xf numFmtId="188" fontId="2" fillId="63" borderId="64" xfId="791" applyNumberFormat="1" applyFont="1" applyFill="1" applyBorder="1" applyAlignment="1" applyProtection="1">
      <alignment horizontal="center" vertical="center"/>
    </xf>
    <xf numFmtId="188" fontId="2" fillId="72" borderId="99" xfId="791" applyNumberFormat="1" applyFont="1" applyFill="1" applyBorder="1" applyAlignment="1" applyProtection="1">
      <alignment horizontal="center" vertical="center"/>
    </xf>
    <xf numFmtId="188" fontId="2" fillId="63" borderId="57" xfId="791" applyNumberFormat="1" applyFont="1" applyFill="1" applyBorder="1" applyAlignment="1" applyProtection="1">
      <alignment horizontal="center" vertical="center"/>
    </xf>
    <xf numFmtId="188" fontId="16" fillId="73" borderId="99" xfId="791" applyNumberFormat="1" applyFont="1" applyFill="1" applyBorder="1" applyAlignment="1" applyProtection="1">
      <alignment horizontal="center" vertical="center" wrapText="1"/>
    </xf>
    <xf numFmtId="188" fontId="2" fillId="72" borderId="77" xfId="791" applyNumberFormat="1" applyFont="1" applyFill="1" applyBorder="1" applyAlignment="1" applyProtection="1">
      <alignment horizontal="center" vertical="center"/>
    </xf>
    <xf numFmtId="188" fontId="2" fillId="72" borderId="54" xfId="791" applyNumberFormat="1" applyFont="1" applyFill="1" applyBorder="1" applyAlignment="1" applyProtection="1">
      <alignment horizontal="center" vertical="center"/>
    </xf>
    <xf numFmtId="188" fontId="16" fillId="73" borderId="64" xfId="791" applyNumberFormat="1" applyFont="1" applyFill="1" applyBorder="1" applyAlignment="1" applyProtection="1">
      <alignment horizontal="center" vertical="center"/>
    </xf>
    <xf numFmtId="188" fontId="16" fillId="73" borderId="88" xfId="791" applyNumberFormat="1" applyFont="1" applyFill="1" applyBorder="1" applyAlignment="1" applyProtection="1">
      <alignment horizontal="center" vertical="center"/>
    </xf>
    <xf numFmtId="188" fontId="96" fillId="63" borderId="0" xfId="791" applyNumberFormat="1" applyFont="1" applyFill="1" applyAlignment="1" applyProtection="1">
      <alignment horizontal="center" vertical="center"/>
    </xf>
    <xf numFmtId="188" fontId="96" fillId="63" borderId="78" xfId="791" applyNumberFormat="1" applyFont="1" applyFill="1" applyBorder="1" applyProtection="1"/>
    <xf numFmtId="188" fontId="108" fillId="63" borderId="78" xfId="791" applyNumberFormat="1" applyFont="1" applyFill="1" applyBorder="1" applyAlignment="1" applyProtection="1">
      <alignment horizontal="center"/>
    </xf>
    <xf numFmtId="188" fontId="0" fillId="71" borderId="68" xfId="791" applyNumberFormat="1" applyFont="1" applyFill="1" applyBorder="1" applyAlignment="1" applyProtection="1">
      <alignment horizontal="center" vertical="center"/>
    </xf>
    <xf numFmtId="188" fontId="0" fillId="71" borderId="48" xfId="791" applyNumberFormat="1" applyFont="1" applyFill="1" applyBorder="1" applyAlignment="1" applyProtection="1">
      <alignment horizontal="center" vertical="center"/>
    </xf>
    <xf numFmtId="188" fontId="95" fillId="63" borderId="69" xfId="791" applyNumberFormat="1" applyFont="1" applyFill="1" applyBorder="1" applyAlignment="1" applyProtection="1">
      <alignment horizontal="center" vertical="center"/>
    </xf>
    <xf numFmtId="188" fontId="95" fillId="63" borderId="44" xfId="791" applyNumberFormat="1" applyFont="1" applyFill="1" applyBorder="1" applyAlignment="1" applyProtection="1">
      <alignment horizontal="center" vertical="center"/>
    </xf>
    <xf numFmtId="188" fontId="0" fillId="0" borderId="50" xfId="791" applyNumberFormat="1" applyFont="1" applyFill="1" applyBorder="1" applyAlignment="1" applyProtection="1">
      <alignment horizontal="center" vertical="center"/>
      <protection locked="0"/>
    </xf>
    <xf numFmtId="188" fontId="95" fillId="63" borderId="57" xfId="791" applyNumberFormat="1" applyFont="1" applyFill="1" applyBorder="1" applyAlignment="1" applyProtection="1">
      <alignment horizontal="center" vertical="center"/>
    </xf>
    <xf numFmtId="188" fontId="95" fillId="63" borderId="28" xfId="791" applyNumberFormat="1" applyFont="1" applyFill="1" applyBorder="1" applyAlignment="1" applyProtection="1">
      <alignment horizontal="center" vertical="center"/>
    </xf>
    <xf numFmtId="188" fontId="0" fillId="0" borderId="50" xfId="791" applyNumberFormat="1" applyFont="1" applyFill="1" applyBorder="1" applyAlignment="1" applyProtection="1">
      <alignment horizontal="center" vertical="center"/>
    </xf>
    <xf numFmtId="188" fontId="0" fillId="71" borderId="28" xfId="791" applyNumberFormat="1" applyFont="1" applyFill="1" applyBorder="1" applyAlignment="1" applyProtection="1">
      <alignment horizontal="center" vertical="center"/>
    </xf>
    <xf numFmtId="188" fontId="0" fillId="63" borderId="50" xfId="791" applyNumberFormat="1" applyFont="1" applyFill="1" applyBorder="1" applyAlignment="1" applyProtection="1">
      <alignment horizontal="center" vertical="center"/>
    </xf>
    <xf numFmtId="188" fontId="0" fillId="71" borderId="74" xfId="791" applyNumberFormat="1" applyFont="1" applyFill="1" applyBorder="1" applyAlignment="1" applyProtection="1">
      <alignment horizontal="center" vertical="center"/>
    </xf>
    <xf numFmtId="188" fontId="0" fillId="71" borderId="75" xfId="791" applyNumberFormat="1" applyFont="1" applyFill="1" applyBorder="1" applyAlignment="1" applyProtection="1">
      <alignment horizontal="center" vertical="center"/>
    </xf>
    <xf numFmtId="188" fontId="0" fillId="63" borderId="51" xfId="791" applyNumberFormat="1" applyFont="1" applyFill="1" applyBorder="1" applyAlignment="1" applyProtection="1">
      <alignment horizontal="center" vertical="center"/>
    </xf>
    <xf numFmtId="188" fontId="7" fillId="77" borderId="68" xfId="791" applyNumberFormat="1" applyFont="1" applyFill="1" applyBorder="1" applyAlignment="1" applyProtection="1">
      <alignment horizontal="center" vertical="center"/>
    </xf>
    <xf numFmtId="188" fontId="7" fillId="3" borderId="48" xfId="791" applyNumberFormat="1" applyFont="1" applyFill="1" applyBorder="1" applyAlignment="1" applyProtection="1">
      <alignment horizontal="center" vertical="center"/>
    </xf>
    <xf numFmtId="188" fontId="7" fillId="3" borderId="49" xfId="791" applyNumberFormat="1" applyFont="1" applyFill="1" applyBorder="1" applyAlignment="1" applyProtection="1">
      <alignment horizontal="center" vertical="center"/>
    </xf>
    <xf numFmtId="188" fontId="7" fillId="77" borderId="69" xfId="791" applyNumberFormat="1" applyFont="1" applyFill="1" applyBorder="1" applyAlignment="1" applyProtection="1">
      <alignment horizontal="center" vertical="center"/>
    </xf>
    <xf numFmtId="188" fontId="7" fillId="3" borderId="28" xfId="791" applyNumberFormat="1" applyFont="1" applyFill="1" applyBorder="1" applyAlignment="1" applyProtection="1">
      <alignment horizontal="center" vertical="center"/>
    </xf>
    <xf numFmtId="188" fontId="7" fillId="3" borderId="50" xfId="791" applyNumberFormat="1" applyFont="1" applyFill="1" applyBorder="1" applyAlignment="1" applyProtection="1">
      <alignment horizontal="center" vertical="center"/>
    </xf>
    <xf numFmtId="188" fontId="7" fillId="77" borderId="28" xfId="791" applyNumberFormat="1" applyFont="1" applyFill="1" applyBorder="1" applyAlignment="1" applyProtection="1">
      <alignment horizontal="center" vertical="center"/>
    </xf>
    <xf numFmtId="188" fontId="16" fillId="73" borderId="101" xfId="791" applyNumberFormat="1" applyFont="1" applyFill="1" applyBorder="1" applyAlignment="1" applyProtection="1">
      <alignment horizontal="center" vertical="center"/>
    </xf>
    <xf numFmtId="188" fontId="16" fillId="73" borderId="102" xfId="791" applyNumberFormat="1" applyFont="1" applyFill="1" applyBorder="1" applyAlignment="1" applyProtection="1">
      <alignment horizontal="center" vertical="center"/>
    </xf>
    <xf numFmtId="188" fontId="16" fillId="73" borderId="62" xfId="791" applyNumberFormat="1" applyFont="1" applyFill="1" applyBorder="1" applyAlignment="1" applyProtection="1">
      <alignment horizontal="center" vertical="center"/>
    </xf>
    <xf numFmtId="188" fontId="16" fillId="73" borderId="45" xfId="791" applyNumberFormat="1" applyFont="1" applyFill="1" applyBorder="1" applyAlignment="1" applyProtection="1">
      <alignment horizontal="center" vertical="center"/>
    </xf>
    <xf numFmtId="188" fontId="111" fillId="63" borderId="0" xfId="791" applyNumberFormat="1" applyFont="1" applyFill="1" applyAlignment="1" applyProtection="1">
      <alignment horizontal="center"/>
    </xf>
    <xf numFmtId="188" fontId="0" fillId="71" borderId="54" xfId="791" applyNumberFormat="1" applyFont="1" applyFill="1" applyBorder="1" applyAlignment="1" applyProtection="1">
      <alignment horizontal="center" vertical="center"/>
    </xf>
    <xf numFmtId="188" fontId="0" fillId="71" borderId="99" xfId="791" applyNumberFormat="1" applyFont="1" applyFill="1" applyBorder="1" applyAlignment="1" applyProtection="1">
      <alignment horizontal="center" vertical="center"/>
    </xf>
    <xf numFmtId="188" fontId="0" fillId="71" borderId="60" xfId="791" applyNumberFormat="1" applyFont="1" applyFill="1" applyBorder="1" applyAlignment="1" applyProtection="1">
      <alignment horizontal="center" vertical="center"/>
    </xf>
    <xf numFmtId="188" fontId="16" fillId="73" borderId="50" xfId="791" applyNumberFormat="1" applyFont="1" applyFill="1" applyBorder="1" applyAlignment="1" applyProtection="1">
      <alignment vertical="center"/>
    </xf>
    <xf numFmtId="188" fontId="96" fillId="73" borderId="50" xfId="791" applyNumberFormat="1" applyFont="1" applyFill="1" applyBorder="1" applyAlignment="1" applyProtection="1">
      <alignment horizontal="center"/>
    </xf>
    <xf numFmtId="188" fontId="16" fillId="73" borderId="51" xfId="791" applyNumberFormat="1" applyFont="1" applyFill="1" applyBorder="1" applyAlignment="1" applyProtection="1">
      <alignment horizontal="center" vertical="center"/>
    </xf>
    <xf numFmtId="188" fontId="0" fillId="71" borderId="61" xfId="791" applyNumberFormat="1" applyFont="1" applyFill="1" applyBorder="1" applyAlignment="1" applyProtection="1">
      <alignment horizontal="center" vertical="center"/>
    </xf>
    <xf numFmtId="188" fontId="96" fillId="63" borderId="0" xfId="791" applyNumberFormat="1" applyFont="1" applyFill="1" applyAlignment="1" applyProtection="1">
      <alignment horizontal="center"/>
    </xf>
    <xf numFmtId="188" fontId="96" fillId="63" borderId="78" xfId="791" applyNumberFormat="1" applyFont="1" applyFill="1" applyBorder="1" applyAlignment="1" applyProtection="1">
      <alignment horizontal="center"/>
    </xf>
    <xf numFmtId="188" fontId="2" fillId="72" borderId="49" xfId="791" applyNumberFormat="1" applyFont="1" applyFill="1" applyBorder="1" applyAlignment="1" applyProtection="1">
      <alignment horizontal="center" vertical="center"/>
    </xf>
    <xf numFmtId="188" fontId="2" fillId="72" borderId="51" xfId="791" applyNumberFormat="1" applyFont="1" applyFill="1" applyBorder="1" applyAlignment="1" applyProtection="1">
      <alignment horizontal="center" vertical="center"/>
    </xf>
    <xf numFmtId="188" fontId="96" fillId="63" borderId="0" xfId="791" applyNumberFormat="1" applyFont="1" applyFill="1" applyProtection="1"/>
    <xf numFmtId="188" fontId="0" fillId="63" borderId="49" xfId="791" applyNumberFormat="1" applyFont="1" applyFill="1" applyBorder="1" applyAlignment="1" applyProtection="1">
      <alignment horizontal="center" vertical="center"/>
      <protection locked="0"/>
    </xf>
    <xf numFmtId="188" fontId="0" fillId="63" borderId="51" xfId="791" applyNumberFormat="1" applyFont="1" applyFill="1" applyBorder="1" applyAlignment="1" applyProtection="1">
      <alignment horizontal="center" vertical="center"/>
      <protection locked="0"/>
    </xf>
    <xf numFmtId="188" fontId="96" fillId="63" borderId="14" xfId="791" applyNumberFormat="1" applyFont="1" applyFill="1" applyBorder="1" applyProtection="1"/>
    <xf numFmtId="188" fontId="2" fillId="0" borderId="56" xfId="791" applyNumberFormat="1" applyFont="1" applyFill="1" applyBorder="1" applyAlignment="1" applyProtection="1">
      <alignment horizontal="center" vertical="center"/>
      <protection locked="0"/>
    </xf>
    <xf numFmtId="188" fontId="2" fillId="72" borderId="77" xfId="791" applyNumberFormat="1" applyFont="1" applyFill="1" applyBorder="1" applyAlignment="1" applyProtection="1">
      <alignment horizontal="center" vertical="center"/>
      <protection locked="0"/>
    </xf>
    <xf numFmtId="188" fontId="96" fillId="63" borderId="72" xfId="791" applyNumberFormat="1" applyFont="1" applyFill="1" applyBorder="1" applyProtection="1"/>
    <xf numFmtId="188" fontId="95" fillId="79" borderId="104" xfId="791" applyNumberFormat="1" applyFont="1" applyFill="1" applyBorder="1" applyAlignment="1" applyProtection="1">
      <alignment horizontal="center" vertical="center"/>
    </xf>
    <xf numFmtId="188" fontId="95" fillId="79" borderId="80" xfId="791" applyNumberFormat="1" applyFont="1" applyFill="1" applyBorder="1" applyAlignment="1" applyProtection="1">
      <alignment horizontal="center" vertical="center"/>
    </xf>
    <xf numFmtId="188" fontId="95" fillId="72" borderId="108" xfId="791" applyNumberFormat="1" applyFont="1" applyFill="1" applyBorder="1" applyAlignment="1" applyProtection="1">
      <alignment horizontal="center" vertical="center"/>
    </xf>
    <xf numFmtId="188" fontId="95" fillId="72" borderId="109" xfId="791" applyNumberFormat="1" applyFont="1" applyFill="1" applyBorder="1" applyAlignment="1" applyProtection="1">
      <alignment horizontal="center" vertical="center"/>
    </xf>
    <xf numFmtId="188" fontId="95" fillId="72" borderId="111" xfId="791" applyNumberFormat="1" applyFont="1" applyFill="1" applyBorder="1" applyAlignment="1" applyProtection="1">
      <alignment horizontal="center" vertical="center"/>
    </xf>
    <xf numFmtId="188" fontId="95" fillId="72" borderId="112" xfId="791" applyNumberFormat="1" applyFont="1" applyFill="1" applyBorder="1" applyAlignment="1" applyProtection="1">
      <alignment horizontal="center" vertical="center"/>
    </xf>
    <xf numFmtId="188" fontId="95" fillId="72" borderId="115" xfId="791" applyNumberFormat="1" applyFont="1" applyFill="1" applyBorder="1" applyAlignment="1" applyProtection="1">
      <alignment horizontal="center" vertical="center"/>
    </xf>
    <xf numFmtId="188" fontId="95" fillId="72" borderId="116" xfId="791" applyNumberFormat="1" applyFont="1" applyFill="1" applyBorder="1" applyAlignment="1" applyProtection="1">
      <alignment horizontal="center" vertical="center"/>
    </xf>
    <xf numFmtId="188" fontId="95" fillId="80" borderId="104" xfId="791" applyNumberFormat="1" applyFont="1" applyFill="1" applyBorder="1" applyAlignment="1" applyProtection="1">
      <alignment horizontal="center" vertical="center"/>
    </xf>
    <xf numFmtId="188" fontId="95" fillId="80" borderId="80" xfId="791" applyNumberFormat="1" applyFont="1" applyFill="1" applyBorder="1" applyAlignment="1" applyProtection="1">
      <alignment horizontal="center" vertical="center"/>
    </xf>
    <xf numFmtId="188" fontId="95" fillId="80" borderId="119" xfId="791" applyNumberFormat="1" applyFont="1" applyFill="1" applyBorder="1" applyAlignment="1" applyProtection="1">
      <alignment horizontal="center" vertical="center"/>
    </xf>
    <xf numFmtId="188" fontId="101" fillId="63" borderId="0" xfId="791" applyNumberFormat="1" applyFont="1" applyFill="1" applyProtection="1"/>
    <xf numFmtId="188" fontId="95" fillId="72" borderId="120" xfId="791" applyNumberFormat="1" applyFont="1" applyFill="1" applyBorder="1" applyAlignment="1" applyProtection="1">
      <alignment horizontal="center" vertical="center"/>
    </xf>
    <xf numFmtId="188" fontId="95" fillId="72" borderId="121" xfId="791" applyNumberFormat="1" applyFont="1" applyFill="1" applyBorder="1" applyAlignment="1" applyProtection="1">
      <alignment horizontal="center" vertical="center"/>
    </xf>
    <xf numFmtId="188" fontId="95" fillId="72" borderId="122" xfId="791" applyNumberFormat="1" applyFont="1" applyFill="1" applyBorder="1" applyAlignment="1" applyProtection="1">
      <alignment horizontal="center" vertical="center"/>
    </xf>
    <xf numFmtId="188" fontId="95" fillId="72" borderId="81" xfId="791" applyNumberFormat="1" applyFont="1" applyFill="1" applyBorder="1" applyAlignment="1" applyProtection="1">
      <alignment horizontal="center" vertical="center"/>
    </xf>
    <xf numFmtId="188" fontId="96" fillId="0" borderId="0" xfId="791" applyNumberFormat="1" applyFont="1" applyProtection="1"/>
    <xf numFmtId="186" fontId="7" fillId="3" borderId="60" xfId="791" applyNumberFormat="1" applyFont="1" applyFill="1" applyBorder="1" applyAlignment="1" applyProtection="1">
      <alignment horizontal="center" vertical="center"/>
    </xf>
    <xf numFmtId="186" fontId="7" fillId="3" borderId="60" xfId="791" applyNumberFormat="1" applyFont="1" applyFill="1" applyBorder="1" applyAlignment="1" applyProtection="1">
      <alignment horizontal="center"/>
    </xf>
    <xf numFmtId="186" fontId="2" fillId="79" borderId="57" xfId="791" applyNumberFormat="1" applyFont="1" applyFill="1" applyBorder="1" applyAlignment="1" applyProtection="1">
      <alignment horizontal="center" vertical="center"/>
    </xf>
    <xf numFmtId="186" fontId="2" fillId="79" borderId="58" xfId="791" applyNumberFormat="1" applyFont="1" applyFill="1" applyBorder="1" applyAlignment="1" applyProtection="1">
      <alignment horizontal="center" vertical="center"/>
    </xf>
    <xf numFmtId="1" fontId="2" fillId="81" borderId="58" xfId="791" applyNumberFormat="1" applyFont="1" applyFill="1" applyBorder="1" applyAlignment="1" applyProtection="1">
      <alignment horizontal="center" vertical="center"/>
      <protection locked="0"/>
    </xf>
    <xf numFmtId="1" fontId="0" fillId="0" borderId="67" xfId="791" applyNumberFormat="1" applyFont="1" applyBorder="1" applyAlignment="1" applyProtection="1">
      <alignment horizontal="center" vertical="center"/>
    </xf>
    <xf numFmtId="1" fontId="0" fillId="0" borderId="61" xfId="791" applyNumberFormat="1" applyFont="1" applyBorder="1" applyAlignment="1" applyProtection="1">
      <alignment horizontal="center" vertical="center"/>
    </xf>
    <xf numFmtId="1" fontId="95" fillId="72" borderId="61" xfId="791" applyNumberFormat="1" applyFont="1" applyFill="1" applyBorder="1" applyAlignment="1" applyProtection="1">
      <alignment horizontal="center" vertical="center"/>
    </xf>
    <xf numFmtId="1" fontId="0" fillId="82" borderId="53" xfId="791" applyNumberFormat="1" applyFont="1" applyFill="1" applyBorder="1" applyAlignment="1" applyProtection="1">
      <alignment horizontal="center" vertical="center"/>
      <protection locked="0"/>
    </xf>
    <xf numFmtId="1" fontId="0" fillId="81" borderId="54" xfId="791" applyNumberFormat="1" applyFont="1" applyFill="1" applyBorder="1" applyAlignment="1" applyProtection="1">
      <alignment horizontal="center" vertical="center"/>
      <protection locked="0"/>
    </xf>
    <xf numFmtId="1" fontId="2" fillId="82" borderId="57" xfId="791" applyNumberFormat="1" applyFont="1" applyFill="1" applyBorder="1" applyAlignment="1" applyProtection="1">
      <alignment horizontal="center" vertical="center"/>
      <protection locked="0"/>
    </xf>
    <xf numFmtId="188" fontId="2" fillId="82" borderId="61" xfId="791" applyNumberFormat="1" applyFont="1" applyFill="1" applyBorder="1" applyAlignment="1" applyProtection="1">
      <alignment horizontal="center" vertical="center"/>
      <protection locked="0"/>
    </xf>
    <xf numFmtId="188" fontId="2" fillId="82" borderId="64" xfId="791" applyNumberFormat="1" applyFont="1" applyFill="1" applyBorder="1" applyAlignment="1" applyProtection="1">
      <alignment horizontal="center" vertical="center"/>
      <protection locked="0"/>
    </xf>
    <xf numFmtId="10" fontId="2" fillId="74" borderId="49" xfId="795" applyNumberFormat="1" applyFont="1" applyFill="1" applyBorder="1" applyAlignment="1" applyProtection="1">
      <alignment horizontal="center"/>
    </xf>
    <xf numFmtId="10" fontId="7" fillId="77" borderId="50" xfId="795" applyNumberFormat="1" applyFont="1" applyFill="1" applyBorder="1" applyAlignment="1" applyProtection="1">
      <alignment horizontal="center" vertical="center"/>
    </xf>
    <xf numFmtId="10" fontId="16" fillId="73" borderId="50" xfId="795" applyNumberFormat="1" applyFont="1" applyFill="1" applyBorder="1" applyAlignment="1" applyProtection="1">
      <alignment horizontal="center" vertical="center"/>
    </xf>
    <xf numFmtId="188" fontId="0" fillId="0" borderId="28" xfId="791" applyNumberFormat="1" applyFont="1" applyBorder="1" applyProtection="1">
      <protection locked="0"/>
    </xf>
    <xf numFmtId="188" fontId="0" fillId="83" borderId="28" xfId="791" applyNumberFormat="1" applyFont="1" applyFill="1" applyBorder="1" applyProtection="1"/>
    <xf numFmtId="3" fontId="0" fillId="83" borderId="28" xfId="0" applyNumberFormat="1" applyFill="1" applyBorder="1"/>
    <xf numFmtId="164" fontId="0" fillId="83" borderId="28" xfId="791" applyFont="1" applyFill="1" applyBorder="1" applyProtection="1"/>
    <xf numFmtId="4" fontId="85" fillId="77" borderId="28" xfId="0" applyNumberFormat="1" applyFont="1" applyFill="1" applyBorder="1" applyProtection="1">
      <protection locked="0"/>
    </xf>
    <xf numFmtId="4" fontId="85" fillId="77" borderId="28" xfId="791" applyNumberFormat="1" applyFont="1" applyFill="1" applyBorder="1" applyAlignment="1" applyProtection="1">
      <protection locked="0"/>
    </xf>
    <xf numFmtId="4" fontId="87" fillId="0" borderId="0" xfId="0" applyNumberFormat="1" applyFont="1" applyAlignment="1">
      <alignment horizontal="center" vertical="center"/>
    </xf>
    <xf numFmtId="0" fontId="87" fillId="0" borderId="0" xfId="0" applyFont="1" applyAlignment="1">
      <alignment horizontal="center" vertical="center"/>
    </xf>
    <xf numFmtId="3" fontId="118" fillId="0" borderId="0" xfId="0" applyNumberFormat="1" applyFont="1"/>
    <xf numFmtId="3" fontId="124" fillId="0" borderId="0" xfId="0" applyNumberFormat="1" applyFont="1"/>
    <xf numFmtId="0" fontId="17" fillId="8" borderId="124" xfId="227" applyNumberFormat="1" applyBorder="1" applyAlignment="1" applyProtection="1">
      <alignment horizontal="left"/>
    </xf>
    <xf numFmtId="188" fontId="0" fillId="83" borderId="124" xfId="791" applyNumberFormat="1" applyFont="1" applyFill="1" applyBorder="1" applyProtection="1"/>
    <xf numFmtId="188" fontId="0" fillId="0" borderId="124" xfId="791" applyNumberFormat="1" applyFont="1" applyBorder="1" applyProtection="1">
      <protection locked="0"/>
    </xf>
    <xf numFmtId="164" fontId="0" fillId="0" borderId="125" xfId="791" applyFont="1" applyBorder="1" applyProtection="1">
      <protection locked="0"/>
    </xf>
    <xf numFmtId="0" fontId="17" fillId="8" borderId="75" xfId="227" applyNumberFormat="1" applyBorder="1" applyAlignment="1" applyProtection="1">
      <alignment horizontal="left" indent="2"/>
    </xf>
    <xf numFmtId="188" fontId="0" fillId="83" borderId="75" xfId="791" applyNumberFormat="1" applyFont="1" applyFill="1" applyBorder="1" applyProtection="1"/>
    <xf numFmtId="188" fontId="0" fillId="0" borderId="75" xfId="791" applyNumberFormat="1" applyFont="1" applyBorder="1" applyProtection="1">
      <protection locked="0"/>
    </xf>
    <xf numFmtId="164" fontId="0" fillId="0" borderId="123" xfId="791" applyFont="1" applyBorder="1" applyProtection="1">
      <protection locked="0"/>
    </xf>
    <xf numFmtId="188" fontId="2" fillId="84" borderId="54" xfId="791" applyNumberFormat="1" applyFont="1" applyFill="1" applyBorder="1" applyAlignment="1" applyProtection="1">
      <alignment horizontal="center" vertical="center"/>
      <protection locked="0"/>
    </xf>
    <xf numFmtId="188" fontId="2" fillId="84" borderId="60" xfId="791" applyNumberFormat="1" applyFont="1" applyFill="1" applyBorder="1" applyAlignment="1" applyProtection="1">
      <alignment horizontal="center" vertical="center"/>
      <protection locked="0"/>
    </xf>
    <xf numFmtId="188" fontId="2" fillId="84" borderId="58" xfId="791" applyNumberFormat="1" applyFont="1" applyFill="1" applyBorder="1" applyAlignment="1" applyProtection="1">
      <alignment horizontal="center" vertical="center"/>
      <protection locked="0"/>
    </xf>
    <xf numFmtId="188" fontId="2" fillId="84" borderId="56" xfId="791" applyNumberFormat="1" applyFont="1" applyFill="1" applyBorder="1" applyAlignment="1" applyProtection="1">
      <alignment horizontal="center" vertical="center"/>
      <protection locked="0"/>
    </xf>
    <xf numFmtId="0" fontId="82" fillId="0" borderId="0" xfId="0" applyFont="1" applyAlignment="1">
      <alignment horizontal="left" indent="1"/>
    </xf>
    <xf numFmtId="0" fontId="0" fillId="0" borderId="0" xfId="0" applyAlignment="1">
      <alignment horizontal="left" indent="1"/>
    </xf>
    <xf numFmtId="0" fontId="92" fillId="0" borderId="0" xfId="0" applyFont="1" applyAlignment="1">
      <alignment horizontal="left" wrapText="1"/>
    </xf>
    <xf numFmtId="0" fontId="86" fillId="67" borderId="0" xfId="0" applyFont="1" applyFill="1" applyAlignment="1">
      <alignment horizontal="left"/>
    </xf>
    <xf numFmtId="3" fontId="82" fillId="68" borderId="28" xfId="0" applyNumberFormat="1" applyFont="1" applyFill="1" applyBorder="1" applyAlignment="1">
      <alignment horizontal="center"/>
    </xf>
    <xf numFmtId="3" fontId="0" fillId="78" borderId="43" xfId="0" applyNumberFormat="1" applyFill="1" applyBorder="1" applyAlignment="1">
      <alignment horizontal="center"/>
    </xf>
    <xf numFmtId="0" fontId="0" fillId="78" borderId="44" xfId="0" applyFill="1" applyBorder="1" applyAlignment="1">
      <alignment horizontal="center"/>
    </xf>
    <xf numFmtId="3" fontId="82" fillId="68" borderId="43" xfId="0" applyNumberFormat="1" applyFont="1" applyFill="1" applyBorder="1" applyAlignment="1">
      <alignment horizontal="center"/>
    </xf>
    <xf numFmtId="3" fontId="82" fillId="68" borderId="44" xfId="0" applyNumberFormat="1" applyFont="1" applyFill="1" applyBorder="1" applyAlignment="1">
      <alignment horizontal="center"/>
    </xf>
    <xf numFmtId="0" fontId="114" fillId="0" borderId="0" xfId="0" applyFont="1" applyAlignment="1">
      <alignment horizontal="left" vertical="top" wrapText="1"/>
    </xf>
    <xf numFmtId="188" fontId="100" fillId="63" borderId="47" xfId="791" applyNumberFormat="1" applyFont="1" applyFill="1" applyBorder="1" applyAlignment="1" applyProtection="1">
      <alignment horizontal="center" vertical="center" wrapText="1"/>
    </xf>
    <xf numFmtId="188" fontId="100" fillId="63" borderId="55" xfId="791" applyNumberFormat="1" applyFont="1" applyFill="1" applyBorder="1" applyAlignment="1" applyProtection="1">
      <alignment horizontal="center" vertical="center" wrapText="1"/>
    </xf>
    <xf numFmtId="188" fontId="100" fillId="63" borderId="82" xfId="791" applyNumberFormat="1" applyFont="1" applyFill="1" applyBorder="1" applyAlignment="1" applyProtection="1">
      <alignment horizontal="center" vertical="center" wrapText="1"/>
    </xf>
  </cellXfs>
  <cellStyles count="810">
    <cellStyle name="%" xfId="2" xr:uid="{00000000-0005-0000-0000-000000000000}"/>
    <cellStyle name="% 2" xfId="3" xr:uid="{00000000-0005-0000-0000-000001000000}"/>
    <cellStyle name="% 2 2" xfId="4" xr:uid="{00000000-0005-0000-0000-000002000000}"/>
    <cellStyle name="% 3" xfId="5" xr:uid="{00000000-0005-0000-0000-000003000000}"/>
    <cellStyle name="=C:\WINNT35\SYSTEM32\COMMAND.COM" xfId="6" xr:uid="{00000000-0005-0000-0000-000004000000}"/>
    <cellStyle name="20 % - Accent1" xfId="7" xr:uid="{00000000-0005-0000-0000-000005000000}"/>
    <cellStyle name="20 % - Accent2" xfId="8" xr:uid="{00000000-0005-0000-0000-000006000000}"/>
    <cellStyle name="20 % - Accent3" xfId="9" xr:uid="{00000000-0005-0000-0000-000007000000}"/>
    <cellStyle name="20 % - Accent4" xfId="10" xr:uid="{00000000-0005-0000-0000-000008000000}"/>
    <cellStyle name="20 % - Accent5" xfId="11" xr:uid="{00000000-0005-0000-0000-000009000000}"/>
    <cellStyle name="20 % - Accent6" xfId="12" xr:uid="{00000000-0005-0000-0000-00000A000000}"/>
    <cellStyle name="20% - Accent1" xfId="13" xr:uid="{00000000-0005-0000-0000-00000B000000}"/>
    <cellStyle name="20% - Accent1 2" xfId="719" xr:uid="{00000000-0005-0000-0000-00000C000000}"/>
    <cellStyle name="20% - Accent1 3" xfId="720" xr:uid="{00000000-0005-0000-0000-00000D000000}"/>
    <cellStyle name="20% - Accent1_BU ACQUA" xfId="721" xr:uid="{00000000-0005-0000-0000-00000E000000}"/>
    <cellStyle name="20% - Accent2" xfId="14" xr:uid="{00000000-0005-0000-0000-00000F000000}"/>
    <cellStyle name="20% - Accent2 2" xfId="722" xr:uid="{00000000-0005-0000-0000-000010000000}"/>
    <cellStyle name="20% - Accent2 3" xfId="723" xr:uid="{00000000-0005-0000-0000-000011000000}"/>
    <cellStyle name="20% - Accent2_BU ACQUA" xfId="724" xr:uid="{00000000-0005-0000-0000-000012000000}"/>
    <cellStyle name="20% - Accent3" xfId="15" xr:uid="{00000000-0005-0000-0000-000013000000}"/>
    <cellStyle name="20% - Accent3 2" xfId="725" xr:uid="{00000000-0005-0000-0000-000014000000}"/>
    <cellStyle name="20% - Accent3 3" xfId="726" xr:uid="{00000000-0005-0000-0000-000015000000}"/>
    <cellStyle name="20% - Accent3_BU ACQUA" xfId="727" xr:uid="{00000000-0005-0000-0000-000016000000}"/>
    <cellStyle name="20% - Accent4" xfId="16" xr:uid="{00000000-0005-0000-0000-000017000000}"/>
    <cellStyle name="20% - Accent4 2" xfId="728" xr:uid="{00000000-0005-0000-0000-000018000000}"/>
    <cellStyle name="20% - Accent4 3" xfId="729" xr:uid="{00000000-0005-0000-0000-000019000000}"/>
    <cellStyle name="20% - Accent4_BU ACQUA" xfId="730" xr:uid="{00000000-0005-0000-0000-00001A000000}"/>
    <cellStyle name="20% - Accent5" xfId="17" xr:uid="{00000000-0005-0000-0000-00001B000000}"/>
    <cellStyle name="20% - Accent5 2" xfId="731" xr:uid="{00000000-0005-0000-0000-00001C000000}"/>
    <cellStyle name="20% - Accent5 3" xfId="732" xr:uid="{00000000-0005-0000-0000-00001D000000}"/>
    <cellStyle name="20% - Accent5_BU ACQUA" xfId="733" xr:uid="{00000000-0005-0000-0000-00001E000000}"/>
    <cellStyle name="20% - Accent6" xfId="18" xr:uid="{00000000-0005-0000-0000-00001F000000}"/>
    <cellStyle name="20% - Accent6 2" xfId="734" xr:uid="{00000000-0005-0000-0000-000020000000}"/>
    <cellStyle name="20% - Accent6 3" xfId="735" xr:uid="{00000000-0005-0000-0000-000021000000}"/>
    <cellStyle name="20% - Accent6_BU ACQUA" xfId="736" xr:uid="{00000000-0005-0000-0000-000022000000}"/>
    <cellStyle name="20% - Colore 1 2" xfId="19" xr:uid="{00000000-0005-0000-0000-000023000000}"/>
    <cellStyle name="20% - Colore 1 2 2" xfId="20" xr:uid="{00000000-0005-0000-0000-000024000000}"/>
    <cellStyle name="20% - Colore 1 2 2 2" xfId="21" xr:uid="{00000000-0005-0000-0000-000025000000}"/>
    <cellStyle name="20% - Colore 1 2 2 2 2" xfId="22" xr:uid="{00000000-0005-0000-0000-000026000000}"/>
    <cellStyle name="20% - Colore 1 2 2 3" xfId="23" xr:uid="{00000000-0005-0000-0000-000027000000}"/>
    <cellStyle name="20% - Colore 1 2 3" xfId="24" xr:uid="{00000000-0005-0000-0000-000028000000}"/>
    <cellStyle name="20% - Colore 1 2 3 2" xfId="25" xr:uid="{00000000-0005-0000-0000-000029000000}"/>
    <cellStyle name="20% - Colore 1 2 4" xfId="26" xr:uid="{00000000-0005-0000-0000-00002A000000}"/>
    <cellStyle name="20% - Colore 1 2 5" xfId="27" xr:uid="{00000000-0005-0000-0000-00002B000000}"/>
    <cellStyle name="20% - Colore 1 2 6" xfId="28" xr:uid="{00000000-0005-0000-0000-00002C000000}"/>
    <cellStyle name="20% - Colore 2 2" xfId="29" xr:uid="{00000000-0005-0000-0000-00002D000000}"/>
    <cellStyle name="20% - Colore 2 2 2" xfId="30" xr:uid="{00000000-0005-0000-0000-00002E000000}"/>
    <cellStyle name="20% - Colore 2 2 2 2" xfId="31" xr:uid="{00000000-0005-0000-0000-00002F000000}"/>
    <cellStyle name="20% - Colore 2 2 2 2 2" xfId="32" xr:uid="{00000000-0005-0000-0000-000030000000}"/>
    <cellStyle name="20% - Colore 2 2 2 3" xfId="33" xr:uid="{00000000-0005-0000-0000-000031000000}"/>
    <cellStyle name="20% - Colore 2 2 3" xfId="34" xr:uid="{00000000-0005-0000-0000-000032000000}"/>
    <cellStyle name="20% - Colore 2 2 3 2" xfId="35" xr:uid="{00000000-0005-0000-0000-000033000000}"/>
    <cellStyle name="20% - Colore 2 2 4" xfId="36" xr:uid="{00000000-0005-0000-0000-000034000000}"/>
    <cellStyle name="20% - Colore 2 2 5" xfId="37" xr:uid="{00000000-0005-0000-0000-000035000000}"/>
    <cellStyle name="20% - Colore 2 2 6" xfId="38" xr:uid="{00000000-0005-0000-0000-000036000000}"/>
    <cellStyle name="20% - Colore 3 2" xfId="39" xr:uid="{00000000-0005-0000-0000-000037000000}"/>
    <cellStyle name="20% - Colore 3 2 2" xfId="40" xr:uid="{00000000-0005-0000-0000-000038000000}"/>
    <cellStyle name="20% - Colore 3 2 2 2" xfId="41" xr:uid="{00000000-0005-0000-0000-000039000000}"/>
    <cellStyle name="20% - Colore 3 2 2 2 2" xfId="42" xr:uid="{00000000-0005-0000-0000-00003A000000}"/>
    <cellStyle name="20% - Colore 3 2 2 3" xfId="43" xr:uid="{00000000-0005-0000-0000-00003B000000}"/>
    <cellStyle name="20% - Colore 3 2 3" xfId="44" xr:uid="{00000000-0005-0000-0000-00003C000000}"/>
    <cellStyle name="20% - Colore 3 2 3 2" xfId="45" xr:uid="{00000000-0005-0000-0000-00003D000000}"/>
    <cellStyle name="20% - Colore 3 2 4" xfId="46" xr:uid="{00000000-0005-0000-0000-00003E000000}"/>
    <cellStyle name="20% - Colore 3 2 5" xfId="47" xr:uid="{00000000-0005-0000-0000-00003F000000}"/>
    <cellStyle name="20% - Colore 3 2 6" xfId="48" xr:uid="{00000000-0005-0000-0000-000040000000}"/>
    <cellStyle name="20% - Colore 4 2" xfId="49" xr:uid="{00000000-0005-0000-0000-000041000000}"/>
    <cellStyle name="20% - Colore 4 2 2" xfId="50" xr:uid="{00000000-0005-0000-0000-000042000000}"/>
    <cellStyle name="20% - Colore 4 2 2 2" xfId="51" xr:uid="{00000000-0005-0000-0000-000043000000}"/>
    <cellStyle name="20% - Colore 4 2 2 2 2" xfId="52" xr:uid="{00000000-0005-0000-0000-000044000000}"/>
    <cellStyle name="20% - Colore 4 2 2 3" xfId="53" xr:uid="{00000000-0005-0000-0000-000045000000}"/>
    <cellStyle name="20% - Colore 4 2 3" xfId="54" xr:uid="{00000000-0005-0000-0000-000046000000}"/>
    <cellStyle name="20% - Colore 4 2 3 2" xfId="55" xr:uid="{00000000-0005-0000-0000-000047000000}"/>
    <cellStyle name="20% - Colore 4 2 4" xfId="56" xr:uid="{00000000-0005-0000-0000-000048000000}"/>
    <cellStyle name="20% - Colore 4 2 5" xfId="57" xr:uid="{00000000-0005-0000-0000-000049000000}"/>
    <cellStyle name="20% - Colore 4 2 6" xfId="58" xr:uid="{00000000-0005-0000-0000-00004A000000}"/>
    <cellStyle name="20% - Colore 5 2" xfId="59" xr:uid="{00000000-0005-0000-0000-00004B000000}"/>
    <cellStyle name="20% - Colore 5 2 2" xfId="60" xr:uid="{00000000-0005-0000-0000-00004C000000}"/>
    <cellStyle name="20% - Colore 5 2 2 2" xfId="61" xr:uid="{00000000-0005-0000-0000-00004D000000}"/>
    <cellStyle name="20% - Colore 5 2 2 2 2" xfId="62" xr:uid="{00000000-0005-0000-0000-00004E000000}"/>
    <cellStyle name="20% - Colore 5 2 2 3" xfId="63" xr:uid="{00000000-0005-0000-0000-00004F000000}"/>
    <cellStyle name="20% - Colore 5 2 3" xfId="64" xr:uid="{00000000-0005-0000-0000-000050000000}"/>
    <cellStyle name="20% - Colore 5 2 3 2" xfId="65" xr:uid="{00000000-0005-0000-0000-000051000000}"/>
    <cellStyle name="20% - Colore 5 2 4" xfId="66" xr:uid="{00000000-0005-0000-0000-000052000000}"/>
    <cellStyle name="20% - Colore 5 2 5" xfId="67" xr:uid="{00000000-0005-0000-0000-000053000000}"/>
    <cellStyle name="20% - Colore 5 2 6" xfId="68" xr:uid="{00000000-0005-0000-0000-000054000000}"/>
    <cellStyle name="20% - Colore 6 2" xfId="69" xr:uid="{00000000-0005-0000-0000-000055000000}"/>
    <cellStyle name="20% - Colore 6 2 2" xfId="70" xr:uid="{00000000-0005-0000-0000-000056000000}"/>
    <cellStyle name="20% - Colore 6 2 2 2" xfId="71" xr:uid="{00000000-0005-0000-0000-000057000000}"/>
    <cellStyle name="20% - Colore 6 2 2 2 2" xfId="72" xr:uid="{00000000-0005-0000-0000-000058000000}"/>
    <cellStyle name="20% - Colore 6 2 2 3" xfId="73" xr:uid="{00000000-0005-0000-0000-000059000000}"/>
    <cellStyle name="20% - Colore 6 2 3" xfId="74" xr:uid="{00000000-0005-0000-0000-00005A000000}"/>
    <cellStyle name="20% - Colore 6 2 3 2" xfId="75" xr:uid="{00000000-0005-0000-0000-00005B000000}"/>
    <cellStyle name="20% - Colore 6 2 4" xfId="76" xr:uid="{00000000-0005-0000-0000-00005C000000}"/>
    <cellStyle name="20% - Colore 6 2 5" xfId="77" xr:uid="{00000000-0005-0000-0000-00005D000000}"/>
    <cellStyle name="20% - Colore 6 2 6" xfId="78" xr:uid="{00000000-0005-0000-0000-00005E000000}"/>
    <cellStyle name="40 % - Accent1" xfId="79" xr:uid="{00000000-0005-0000-0000-00005F000000}"/>
    <cellStyle name="40 % - Accent2" xfId="80" xr:uid="{00000000-0005-0000-0000-000060000000}"/>
    <cellStyle name="40 % - Accent3" xfId="81" xr:uid="{00000000-0005-0000-0000-000061000000}"/>
    <cellStyle name="40 % - Accent4" xfId="82" xr:uid="{00000000-0005-0000-0000-000062000000}"/>
    <cellStyle name="40 % - Accent5" xfId="83" xr:uid="{00000000-0005-0000-0000-000063000000}"/>
    <cellStyle name="40 % - Accent6" xfId="84" xr:uid="{00000000-0005-0000-0000-000064000000}"/>
    <cellStyle name="40% - Accent1" xfId="85" xr:uid="{00000000-0005-0000-0000-000065000000}"/>
    <cellStyle name="40% - Accent1 2" xfId="737" xr:uid="{00000000-0005-0000-0000-000066000000}"/>
    <cellStyle name="40% - Accent1 3" xfId="738" xr:uid="{00000000-0005-0000-0000-000067000000}"/>
    <cellStyle name="40% - Accent1_BU ACQUA" xfId="739" xr:uid="{00000000-0005-0000-0000-000068000000}"/>
    <cellStyle name="40% - Accent2" xfId="86" xr:uid="{00000000-0005-0000-0000-000069000000}"/>
    <cellStyle name="40% - Accent2 2" xfId="740" xr:uid="{00000000-0005-0000-0000-00006A000000}"/>
    <cellStyle name="40% - Accent2 3" xfId="741" xr:uid="{00000000-0005-0000-0000-00006B000000}"/>
    <cellStyle name="40% - Accent2_BU ACQUA" xfId="742" xr:uid="{00000000-0005-0000-0000-00006C000000}"/>
    <cellStyle name="40% - Accent3" xfId="87" xr:uid="{00000000-0005-0000-0000-00006D000000}"/>
    <cellStyle name="40% - Accent3 2" xfId="743" xr:uid="{00000000-0005-0000-0000-00006E000000}"/>
    <cellStyle name="40% - Accent3 3" xfId="744" xr:uid="{00000000-0005-0000-0000-00006F000000}"/>
    <cellStyle name="40% - Accent3_BU ACQUA" xfId="745" xr:uid="{00000000-0005-0000-0000-000070000000}"/>
    <cellStyle name="40% - Accent4" xfId="88" xr:uid="{00000000-0005-0000-0000-000071000000}"/>
    <cellStyle name="40% - Accent4 2" xfId="746" xr:uid="{00000000-0005-0000-0000-000072000000}"/>
    <cellStyle name="40% - Accent4 3" xfId="747" xr:uid="{00000000-0005-0000-0000-000073000000}"/>
    <cellStyle name="40% - Accent4_BU ACQUA" xfId="748" xr:uid="{00000000-0005-0000-0000-000074000000}"/>
    <cellStyle name="40% - Accent5" xfId="89" xr:uid="{00000000-0005-0000-0000-000075000000}"/>
    <cellStyle name="40% - Accent5 2" xfId="749" xr:uid="{00000000-0005-0000-0000-000076000000}"/>
    <cellStyle name="40% - Accent5 3" xfId="750" xr:uid="{00000000-0005-0000-0000-000077000000}"/>
    <cellStyle name="40% - Accent5_BU ACQUA" xfId="751" xr:uid="{00000000-0005-0000-0000-000078000000}"/>
    <cellStyle name="40% - Accent6" xfId="90" xr:uid="{00000000-0005-0000-0000-000079000000}"/>
    <cellStyle name="40% - Accent6 2" xfId="752" xr:uid="{00000000-0005-0000-0000-00007A000000}"/>
    <cellStyle name="40% - Accent6 3" xfId="753" xr:uid="{00000000-0005-0000-0000-00007B000000}"/>
    <cellStyle name="40% - Accent6_BU ACQUA" xfId="754" xr:uid="{00000000-0005-0000-0000-00007C000000}"/>
    <cellStyle name="40% - Colore 1 2" xfId="91" xr:uid="{00000000-0005-0000-0000-00007D000000}"/>
    <cellStyle name="40% - Colore 1 2 2" xfId="92" xr:uid="{00000000-0005-0000-0000-00007E000000}"/>
    <cellStyle name="40% - Colore 1 2 2 2" xfId="93" xr:uid="{00000000-0005-0000-0000-00007F000000}"/>
    <cellStyle name="40% - Colore 1 2 2 2 2" xfId="94" xr:uid="{00000000-0005-0000-0000-000080000000}"/>
    <cellStyle name="40% - Colore 1 2 2 3" xfId="95" xr:uid="{00000000-0005-0000-0000-000081000000}"/>
    <cellStyle name="40% - Colore 1 2 3" xfId="96" xr:uid="{00000000-0005-0000-0000-000082000000}"/>
    <cellStyle name="40% - Colore 1 2 3 2" xfId="97" xr:uid="{00000000-0005-0000-0000-000083000000}"/>
    <cellStyle name="40% - Colore 1 2 4" xfId="98" xr:uid="{00000000-0005-0000-0000-000084000000}"/>
    <cellStyle name="40% - Colore 1 2 5" xfId="99" xr:uid="{00000000-0005-0000-0000-000085000000}"/>
    <cellStyle name="40% - Colore 1 2 6" xfId="100" xr:uid="{00000000-0005-0000-0000-000086000000}"/>
    <cellStyle name="40% - Colore 2 2" xfId="101" xr:uid="{00000000-0005-0000-0000-000087000000}"/>
    <cellStyle name="40% - Colore 2 2 2" xfId="102" xr:uid="{00000000-0005-0000-0000-000088000000}"/>
    <cellStyle name="40% - Colore 2 2 2 2" xfId="103" xr:uid="{00000000-0005-0000-0000-000089000000}"/>
    <cellStyle name="40% - Colore 2 2 2 2 2" xfId="104" xr:uid="{00000000-0005-0000-0000-00008A000000}"/>
    <cellStyle name="40% - Colore 2 2 2 3" xfId="105" xr:uid="{00000000-0005-0000-0000-00008B000000}"/>
    <cellStyle name="40% - Colore 2 2 3" xfId="106" xr:uid="{00000000-0005-0000-0000-00008C000000}"/>
    <cellStyle name="40% - Colore 2 2 3 2" xfId="107" xr:uid="{00000000-0005-0000-0000-00008D000000}"/>
    <cellStyle name="40% - Colore 2 2 4" xfId="108" xr:uid="{00000000-0005-0000-0000-00008E000000}"/>
    <cellStyle name="40% - Colore 2 2 5" xfId="109" xr:uid="{00000000-0005-0000-0000-00008F000000}"/>
    <cellStyle name="40% - Colore 2 2 6" xfId="110" xr:uid="{00000000-0005-0000-0000-000090000000}"/>
    <cellStyle name="40% - Colore 3 2" xfId="111" xr:uid="{00000000-0005-0000-0000-000091000000}"/>
    <cellStyle name="40% - Colore 3 2 2" xfId="112" xr:uid="{00000000-0005-0000-0000-000092000000}"/>
    <cellStyle name="40% - Colore 3 2 2 2" xfId="113" xr:uid="{00000000-0005-0000-0000-000093000000}"/>
    <cellStyle name="40% - Colore 3 2 2 2 2" xfId="114" xr:uid="{00000000-0005-0000-0000-000094000000}"/>
    <cellStyle name="40% - Colore 3 2 2 3" xfId="115" xr:uid="{00000000-0005-0000-0000-000095000000}"/>
    <cellStyle name="40% - Colore 3 2 3" xfId="116" xr:uid="{00000000-0005-0000-0000-000096000000}"/>
    <cellStyle name="40% - Colore 3 2 3 2" xfId="117" xr:uid="{00000000-0005-0000-0000-000097000000}"/>
    <cellStyle name="40% - Colore 3 2 4" xfId="118" xr:uid="{00000000-0005-0000-0000-000098000000}"/>
    <cellStyle name="40% - Colore 3 2 5" xfId="119" xr:uid="{00000000-0005-0000-0000-000099000000}"/>
    <cellStyle name="40% - Colore 3 2 6" xfId="120" xr:uid="{00000000-0005-0000-0000-00009A000000}"/>
    <cellStyle name="40% - Colore 4 2" xfId="121" xr:uid="{00000000-0005-0000-0000-00009B000000}"/>
    <cellStyle name="40% - Colore 4 2 2" xfId="122" xr:uid="{00000000-0005-0000-0000-00009C000000}"/>
    <cellStyle name="40% - Colore 4 2 2 2" xfId="123" xr:uid="{00000000-0005-0000-0000-00009D000000}"/>
    <cellStyle name="40% - Colore 4 2 2 2 2" xfId="124" xr:uid="{00000000-0005-0000-0000-00009E000000}"/>
    <cellStyle name="40% - Colore 4 2 2 3" xfId="125" xr:uid="{00000000-0005-0000-0000-00009F000000}"/>
    <cellStyle name="40% - Colore 4 2 3" xfId="126" xr:uid="{00000000-0005-0000-0000-0000A0000000}"/>
    <cellStyle name="40% - Colore 4 2 3 2" xfId="127" xr:uid="{00000000-0005-0000-0000-0000A1000000}"/>
    <cellStyle name="40% - Colore 4 2 4" xfId="128" xr:uid="{00000000-0005-0000-0000-0000A2000000}"/>
    <cellStyle name="40% - Colore 4 2 5" xfId="129" xr:uid="{00000000-0005-0000-0000-0000A3000000}"/>
    <cellStyle name="40% - Colore 4 2 6" xfId="130" xr:uid="{00000000-0005-0000-0000-0000A4000000}"/>
    <cellStyle name="40% - Colore 5 2" xfId="131" xr:uid="{00000000-0005-0000-0000-0000A5000000}"/>
    <cellStyle name="40% - Colore 5 2 2" xfId="132" xr:uid="{00000000-0005-0000-0000-0000A6000000}"/>
    <cellStyle name="40% - Colore 5 2 2 2" xfId="133" xr:uid="{00000000-0005-0000-0000-0000A7000000}"/>
    <cellStyle name="40% - Colore 5 2 2 2 2" xfId="134" xr:uid="{00000000-0005-0000-0000-0000A8000000}"/>
    <cellStyle name="40% - Colore 5 2 2 3" xfId="135" xr:uid="{00000000-0005-0000-0000-0000A9000000}"/>
    <cellStyle name="40% - Colore 5 2 3" xfId="136" xr:uid="{00000000-0005-0000-0000-0000AA000000}"/>
    <cellStyle name="40% - Colore 5 2 3 2" xfId="137" xr:uid="{00000000-0005-0000-0000-0000AB000000}"/>
    <cellStyle name="40% - Colore 5 2 4" xfId="138" xr:uid="{00000000-0005-0000-0000-0000AC000000}"/>
    <cellStyle name="40% - Colore 5 2 5" xfId="139" xr:uid="{00000000-0005-0000-0000-0000AD000000}"/>
    <cellStyle name="40% - Colore 5 2 6" xfId="140" xr:uid="{00000000-0005-0000-0000-0000AE000000}"/>
    <cellStyle name="40% - Colore 6 2" xfId="141" xr:uid="{00000000-0005-0000-0000-0000AF000000}"/>
    <cellStyle name="40% - Colore 6 2 2" xfId="142" xr:uid="{00000000-0005-0000-0000-0000B0000000}"/>
    <cellStyle name="40% - Colore 6 2 2 2" xfId="143" xr:uid="{00000000-0005-0000-0000-0000B1000000}"/>
    <cellStyle name="40% - Colore 6 2 2 2 2" xfId="144" xr:uid="{00000000-0005-0000-0000-0000B2000000}"/>
    <cellStyle name="40% - Colore 6 2 2 3" xfId="145" xr:uid="{00000000-0005-0000-0000-0000B3000000}"/>
    <cellStyle name="40% - Colore 6 2 3" xfId="146" xr:uid="{00000000-0005-0000-0000-0000B4000000}"/>
    <cellStyle name="40% - Colore 6 2 3 2" xfId="147" xr:uid="{00000000-0005-0000-0000-0000B5000000}"/>
    <cellStyle name="40% - Colore 6 2 4" xfId="148" xr:uid="{00000000-0005-0000-0000-0000B6000000}"/>
    <cellStyle name="40% - Colore 6 2 5" xfId="149" xr:uid="{00000000-0005-0000-0000-0000B7000000}"/>
    <cellStyle name="40% - Colore 6 2 6" xfId="150" xr:uid="{00000000-0005-0000-0000-0000B8000000}"/>
    <cellStyle name="60 % - Accent1" xfId="151" xr:uid="{00000000-0005-0000-0000-0000B9000000}"/>
    <cellStyle name="60 % - Accent2" xfId="152" xr:uid="{00000000-0005-0000-0000-0000BA000000}"/>
    <cellStyle name="60 % - Accent3" xfId="153" xr:uid="{00000000-0005-0000-0000-0000BB000000}"/>
    <cellStyle name="60 % - Accent4" xfId="154" xr:uid="{00000000-0005-0000-0000-0000BC000000}"/>
    <cellStyle name="60 % - Accent5" xfId="155" xr:uid="{00000000-0005-0000-0000-0000BD000000}"/>
    <cellStyle name="60 % - Accent6" xfId="156" xr:uid="{00000000-0005-0000-0000-0000BE000000}"/>
    <cellStyle name="60% - Accent1" xfId="157" xr:uid="{00000000-0005-0000-0000-0000BF000000}"/>
    <cellStyle name="60% - Accent2" xfId="158" xr:uid="{00000000-0005-0000-0000-0000C0000000}"/>
    <cellStyle name="60% - Accent3" xfId="159" xr:uid="{00000000-0005-0000-0000-0000C1000000}"/>
    <cellStyle name="60% - Accent4" xfId="160" xr:uid="{00000000-0005-0000-0000-0000C2000000}"/>
    <cellStyle name="60% - Accent5" xfId="161" xr:uid="{00000000-0005-0000-0000-0000C3000000}"/>
    <cellStyle name="60% - Accent6" xfId="162" xr:uid="{00000000-0005-0000-0000-0000C4000000}"/>
    <cellStyle name="60% - Colore 1 2" xfId="163" xr:uid="{00000000-0005-0000-0000-0000C5000000}"/>
    <cellStyle name="60% - Colore 1 2 2" xfId="164" xr:uid="{00000000-0005-0000-0000-0000C6000000}"/>
    <cellStyle name="60% - Colore 1 2 3" xfId="165" xr:uid="{00000000-0005-0000-0000-0000C7000000}"/>
    <cellStyle name="60% - Colore 2 2" xfId="166" xr:uid="{00000000-0005-0000-0000-0000C8000000}"/>
    <cellStyle name="60% - Colore 2 2 2" xfId="167" xr:uid="{00000000-0005-0000-0000-0000C9000000}"/>
    <cellStyle name="60% - Colore 2 2 3" xfId="168" xr:uid="{00000000-0005-0000-0000-0000CA000000}"/>
    <cellStyle name="60% - Colore 3 2" xfId="169" xr:uid="{00000000-0005-0000-0000-0000CB000000}"/>
    <cellStyle name="60% - Colore 3 2 2" xfId="170" xr:uid="{00000000-0005-0000-0000-0000CC000000}"/>
    <cellStyle name="60% - Colore 3 2 3" xfId="171" xr:uid="{00000000-0005-0000-0000-0000CD000000}"/>
    <cellStyle name="60% - Colore 4 2" xfId="172" xr:uid="{00000000-0005-0000-0000-0000CE000000}"/>
    <cellStyle name="60% - Colore 4 2 2" xfId="173" xr:uid="{00000000-0005-0000-0000-0000CF000000}"/>
    <cellStyle name="60% - Colore 4 2 3" xfId="174" xr:uid="{00000000-0005-0000-0000-0000D0000000}"/>
    <cellStyle name="60% - Colore 5 2" xfId="175" xr:uid="{00000000-0005-0000-0000-0000D1000000}"/>
    <cellStyle name="60% - Colore 5 2 2" xfId="176" xr:uid="{00000000-0005-0000-0000-0000D2000000}"/>
    <cellStyle name="60% - Colore 5 2 3" xfId="177" xr:uid="{00000000-0005-0000-0000-0000D3000000}"/>
    <cellStyle name="60% - Colore 6 2" xfId="178" xr:uid="{00000000-0005-0000-0000-0000D4000000}"/>
    <cellStyle name="60% - Colore 6 2 2" xfId="179" xr:uid="{00000000-0005-0000-0000-0000D5000000}"/>
    <cellStyle name="60% - Colore 6 2 3" xfId="180" xr:uid="{00000000-0005-0000-0000-0000D6000000}"/>
    <cellStyle name="Accent1" xfId="181" xr:uid="{00000000-0005-0000-0000-0000D7000000}"/>
    <cellStyle name="Accent1 2" xfId="182" xr:uid="{00000000-0005-0000-0000-0000D8000000}"/>
    <cellStyle name="Accent1 3" xfId="183" xr:uid="{00000000-0005-0000-0000-0000D9000000}"/>
    <cellStyle name="Accent2" xfId="184" xr:uid="{00000000-0005-0000-0000-0000DA000000}"/>
    <cellStyle name="Accent2 2" xfId="185" xr:uid="{00000000-0005-0000-0000-0000DB000000}"/>
    <cellStyle name="Accent2 3" xfId="186" xr:uid="{00000000-0005-0000-0000-0000DC000000}"/>
    <cellStyle name="Accent3" xfId="187" xr:uid="{00000000-0005-0000-0000-0000DD000000}"/>
    <cellStyle name="Accent3 2" xfId="188" xr:uid="{00000000-0005-0000-0000-0000DE000000}"/>
    <cellStyle name="Accent3 3" xfId="189" xr:uid="{00000000-0005-0000-0000-0000DF000000}"/>
    <cellStyle name="Accent4" xfId="190" xr:uid="{00000000-0005-0000-0000-0000E0000000}"/>
    <cellStyle name="Accent4 2" xfId="191" xr:uid="{00000000-0005-0000-0000-0000E1000000}"/>
    <cellStyle name="Accent4 3" xfId="192" xr:uid="{00000000-0005-0000-0000-0000E2000000}"/>
    <cellStyle name="Accent5" xfId="193" xr:uid="{00000000-0005-0000-0000-0000E3000000}"/>
    <cellStyle name="Accent5 2" xfId="194" xr:uid="{00000000-0005-0000-0000-0000E4000000}"/>
    <cellStyle name="Accent5 3" xfId="195" xr:uid="{00000000-0005-0000-0000-0000E5000000}"/>
    <cellStyle name="Accent6" xfId="196" xr:uid="{00000000-0005-0000-0000-0000E6000000}"/>
    <cellStyle name="Accent6 2" xfId="197" xr:uid="{00000000-0005-0000-0000-0000E7000000}"/>
    <cellStyle name="Accent6 3" xfId="198" xr:uid="{00000000-0005-0000-0000-0000E8000000}"/>
    <cellStyle name="ACF" xfId="199" xr:uid="{00000000-0005-0000-0000-0000E9000000}"/>
    <cellStyle name="Avertissement" xfId="200" xr:uid="{00000000-0005-0000-0000-0000EA000000}"/>
    <cellStyle name="Bad" xfId="201" xr:uid="{00000000-0005-0000-0000-0000EB000000}"/>
    <cellStyle name="Calc Currency (0)" xfId="202" xr:uid="{00000000-0005-0000-0000-0000EC000000}"/>
    <cellStyle name="Calcolo" xfId="793" builtinId="22"/>
    <cellStyle name="Calcolo 2" xfId="203" xr:uid="{00000000-0005-0000-0000-0000EE000000}"/>
    <cellStyle name="Calcolo 2 2" xfId="204" xr:uid="{00000000-0005-0000-0000-0000EF000000}"/>
    <cellStyle name="Calcolo 2 3" xfId="205" xr:uid="{00000000-0005-0000-0000-0000F0000000}"/>
    <cellStyle name="Calcolo 2 3 2" xfId="755" xr:uid="{00000000-0005-0000-0000-0000F1000000}"/>
    <cellStyle name="Calcolo 2 3 2 2" xfId="804" xr:uid="{00000000-0005-0000-0000-0000F2000000}"/>
    <cellStyle name="Calcolo 2 3 3" xfId="796" xr:uid="{00000000-0005-0000-0000-0000F3000000}"/>
    <cellStyle name="Calcul" xfId="206" xr:uid="{00000000-0005-0000-0000-0000F4000000}"/>
    <cellStyle name="Calcul 2" xfId="756" xr:uid="{00000000-0005-0000-0000-0000F5000000}"/>
    <cellStyle name="Calcul 2 2" xfId="805" xr:uid="{00000000-0005-0000-0000-0000F6000000}"/>
    <cellStyle name="Calcul 3" xfId="797" xr:uid="{00000000-0005-0000-0000-0000F7000000}"/>
    <cellStyle name="Calculation" xfId="207" xr:uid="{00000000-0005-0000-0000-0000F8000000}"/>
    <cellStyle name="Calculation 2" xfId="757" xr:uid="{00000000-0005-0000-0000-0000F9000000}"/>
    <cellStyle name="Calculation 2 2" xfId="806" xr:uid="{00000000-0005-0000-0000-0000FA000000}"/>
    <cellStyle name="Calculation 3" xfId="798" xr:uid="{00000000-0005-0000-0000-0000FB000000}"/>
    <cellStyle name="čárky_List1" xfId="208" xr:uid="{00000000-0005-0000-0000-0000FC000000}"/>
    <cellStyle name="Cella collegata 2" xfId="209" xr:uid="{00000000-0005-0000-0000-0000FD000000}"/>
    <cellStyle name="Cella collegata 2 2" xfId="210" xr:uid="{00000000-0005-0000-0000-0000FE000000}"/>
    <cellStyle name="Cella collegata 2 3" xfId="211" xr:uid="{00000000-0005-0000-0000-0000FF000000}"/>
    <cellStyle name="Cella da controllare 2" xfId="212" xr:uid="{00000000-0005-0000-0000-000000010000}"/>
    <cellStyle name="Cella da controllare 2 2" xfId="213" xr:uid="{00000000-0005-0000-0000-000001010000}"/>
    <cellStyle name="Cella da controllare 2 3" xfId="214" xr:uid="{00000000-0005-0000-0000-000002010000}"/>
    <cellStyle name="Cellule liée" xfId="215" xr:uid="{00000000-0005-0000-0000-000003010000}"/>
    <cellStyle name="Check Cell" xfId="216" xr:uid="{00000000-0005-0000-0000-000004010000}"/>
    <cellStyle name="Collegamento ipertestuale" xfId="792" builtinId="8"/>
    <cellStyle name="Collegamento ipertestuale 2" xfId="217" xr:uid="{00000000-0005-0000-0000-000006010000}"/>
    <cellStyle name="Collegamento ipertestuale 2 2" xfId="218" xr:uid="{00000000-0005-0000-0000-000007010000}"/>
    <cellStyle name="Collegamento ipertestuale 3" xfId="219" xr:uid="{00000000-0005-0000-0000-000008010000}"/>
    <cellStyle name="Collegamento ipertestuale 3 2" xfId="220" xr:uid="{00000000-0005-0000-0000-000009010000}"/>
    <cellStyle name="Collegamento ipertestuale 3 2 2" xfId="221" xr:uid="{00000000-0005-0000-0000-00000A010000}"/>
    <cellStyle name="Collegamento ipertestuale 3 3" xfId="222" xr:uid="{00000000-0005-0000-0000-00000B010000}"/>
    <cellStyle name="Collegamento ipertestuale 4" xfId="223" xr:uid="{00000000-0005-0000-0000-00000C010000}"/>
    <cellStyle name="Collegamento ipertestuale 5" xfId="224" xr:uid="{00000000-0005-0000-0000-00000D010000}"/>
    <cellStyle name="ColLevel_1_BE (2)" xfId="225" xr:uid="{00000000-0005-0000-0000-00000E010000}"/>
    <cellStyle name="Colore 1 2" xfId="226" xr:uid="{00000000-0005-0000-0000-00000F010000}"/>
    <cellStyle name="Colore 1 2 2" xfId="227" xr:uid="{00000000-0005-0000-0000-000010010000}"/>
    <cellStyle name="Colore 1 2 3" xfId="228" xr:uid="{00000000-0005-0000-0000-000011010000}"/>
    <cellStyle name="Colore 2 2" xfId="229" xr:uid="{00000000-0005-0000-0000-000012010000}"/>
    <cellStyle name="Colore 2 2 2" xfId="230" xr:uid="{00000000-0005-0000-0000-000013010000}"/>
    <cellStyle name="Colore 2 2 3" xfId="231" xr:uid="{00000000-0005-0000-0000-000014010000}"/>
    <cellStyle name="Colore 3 2" xfId="232" xr:uid="{00000000-0005-0000-0000-000015010000}"/>
    <cellStyle name="Colore 3 2 2" xfId="233" xr:uid="{00000000-0005-0000-0000-000016010000}"/>
    <cellStyle name="Colore 3 2 3" xfId="234" xr:uid="{00000000-0005-0000-0000-000017010000}"/>
    <cellStyle name="Colore 4 2" xfId="235" xr:uid="{00000000-0005-0000-0000-000018010000}"/>
    <cellStyle name="Colore 4 2 2" xfId="236" xr:uid="{00000000-0005-0000-0000-000019010000}"/>
    <cellStyle name="Colore 4 2 3" xfId="237" xr:uid="{00000000-0005-0000-0000-00001A010000}"/>
    <cellStyle name="Colore 5 2" xfId="238" xr:uid="{00000000-0005-0000-0000-00001B010000}"/>
    <cellStyle name="Colore 5 2 2" xfId="239" xr:uid="{00000000-0005-0000-0000-00001C010000}"/>
    <cellStyle name="Colore 5 2 3" xfId="240" xr:uid="{00000000-0005-0000-0000-00001D010000}"/>
    <cellStyle name="Colore 6 2" xfId="241" xr:uid="{00000000-0005-0000-0000-00001E010000}"/>
    <cellStyle name="Colore 6 2 2" xfId="242" xr:uid="{00000000-0005-0000-0000-00001F010000}"/>
    <cellStyle name="Colore 6 2 3" xfId="243" xr:uid="{00000000-0005-0000-0000-000020010000}"/>
    <cellStyle name="Comma [0]_353HHC" xfId="244" xr:uid="{00000000-0005-0000-0000-000021010000}"/>
    <cellStyle name="Comma_353HHC" xfId="245" xr:uid="{00000000-0005-0000-0000-000022010000}"/>
    <cellStyle name="Commentaire" xfId="246" xr:uid="{00000000-0005-0000-0000-000023010000}"/>
    <cellStyle name="Commentaire 2" xfId="758" xr:uid="{00000000-0005-0000-0000-000024010000}"/>
    <cellStyle name="Commentaire 2 2" xfId="807" xr:uid="{00000000-0005-0000-0000-000025010000}"/>
    <cellStyle name="Commentaire 3" xfId="799" xr:uid="{00000000-0005-0000-0000-000026010000}"/>
    <cellStyle name="Copied" xfId="247" xr:uid="{00000000-0005-0000-0000-000027010000}"/>
    <cellStyle name="Curr-$" xfId="248" xr:uid="{00000000-0005-0000-0000-000028010000}"/>
    <cellStyle name="Curr-£" xfId="249" xr:uid="{00000000-0005-0000-0000-000029010000}"/>
    <cellStyle name="Currency [0]_353HHC" xfId="250" xr:uid="{00000000-0005-0000-0000-00002A010000}"/>
    <cellStyle name="Currency-$" xfId="251" xr:uid="{00000000-0005-0000-0000-00002B010000}"/>
    <cellStyle name="Currency_353HHC" xfId="252" xr:uid="{00000000-0005-0000-0000-00002C010000}"/>
    <cellStyle name="Currency-£" xfId="253" xr:uid="{00000000-0005-0000-0000-00002D010000}"/>
    <cellStyle name="Currency-F" xfId="254" xr:uid="{00000000-0005-0000-0000-00002E010000}"/>
    <cellStyle name="Curr-F" xfId="255" xr:uid="{00000000-0005-0000-0000-00002F010000}"/>
    <cellStyle name="Date" xfId="256" xr:uid="{00000000-0005-0000-0000-000030010000}"/>
    <cellStyle name="Dezimal_Sita DE Optimax Actual June 2006" xfId="257" xr:uid="{00000000-0005-0000-0000-000031010000}"/>
    <cellStyle name="Entered" xfId="258" xr:uid="{00000000-0005-0000-0000-000032010000}"/>
    <cellStyle name="Entrée" xfId="259" xr:uid="{00000000-0005-0000-0000-000033010000}"/>
    <cellStyle name="Entrée 2" xfId="759" xr:uid="{00000000-0005-0000-0000-000034010000}"/>
    <cellStyle name="Entrée 2 2" xfId="808" xr:uid="{00000000-0005-0000-0000-000035010000}"/>
    <cellStyle name="Entrée 3" xfId="800" xr:uid="{00000000-0005-0000-0000-000036010000}"/>
    <cellStyle name="Euro" xfId="260" xr:uid="{00000000-0005-0000-0000-000037010000}"/>
    <cellStyle name="Euro 2" xfId="261" xr:uid="{00000000-0005-0000-0000-000038010000}"/>
    <cellStyle name="Euro 2 2" xfId="262" xr:uid="{00000000-0005-0000-0000-000039010000}"/>
    <cellStyle name="Euro 2 3" xfId="263" xr:uid="{00000000-0005-0000-0000-00003A010000}"/>
    <cellStyle name="Euro 2 4" xfId="264" xr:uid="{00000000-0005-0000-0000-00003B010000}"/>
    <cellStyle name="Euro 3" xfId="265" xr:uid="{00000000-0005-0000-0000-00003C010000}"/>
    <cellStyle name="Euro 3 2" xfId="266" xr:uid="{00000000-0005-0000-0000-00003D010000}"/>
    <cellStyle name="Euro 4" xfId="267" xr:uid="{00000000-0005-0000-0000-00003E010000}"/>
    <cellStyle name="Euro 4 2" xfId="268" xr:uid="{00000000-0005-0000-0000-00003F010000}"/>
    <cellStyle name="Euro 5" xfId="269" xr:uid="{00000000-0005-0000-0000-000040010000}"/>
    <cellStyle name="Euro 6" xfId="270" xr:uid="{00000000-0005-0000-0000-000041010000}"/>
    <cellStyle name="Euro_2010-10-15_Investimenti_2010-2021_con calcoloammrem_2" xfId="271" xr:uid="{00000000-0005-0000-0000-000042010000}"/>
    <cellStyle name="Excel Built-in Normal" xfId="272" xr:uid="{00000000-0005-0000-0000-000043010000}"/>
    <cellStyle name="Excel Built-in Normal 2" xfId="273" xr:uid="{00000000-0005-0000-0000-000044010000}"/>
    <cellStyle name="Explanatory Text" xfId="274" xr:uid="{00000000-0005-0000-0000-000045010000}"/>
    <cellStyle name="Followed Hyperlink" xfId="275" xr:uid="{00000000-0005-0000-0000-000046010000}"/>
    <cellStyle name="Followed Hyperlink 2" xfId="276" xr:uid="{00000000-0005-0000-0000-000047010000}"/>
    <cellStyle name="Followed Hyperlink 2 2" xfId="277" xr:uid="{00000000-0005-0000-0000-000048010000}"/>
    <cellStyle name="Followed Hyperlink 2 3" xfId="278" xr:uid="{00000000-0005-0000-0000-000049010000}"/>
    <cellStyle name="Followed Hyperlink 2 4" xfId="279" xr:uid="{00000000-0005-0000-0000-00004A010000}"/>
    <cellStyle name="Followed Hyperlink 3" xfId="280" xr:uid="{00000000-0005-0000-0000-00004B010000}"/>
    <cellStyle name="Followed Hyperlink 4" xfId="281" xr:uid="{00000000-0005-0000-0000-00004C010000}"/>
    <cellStyle name="Followed Hyperlink 5" xfId="282" xr:uid="{00000000-0005-0000-0000-00004D010000}"/>
    <cellStyle name="Good" xfId="283" xr:uid="{00000000-0005-0000-0000-00004E010000}"/>
    <cellStyle name="Grey" xfId="284" xr:uid="{00000000-0005-0000-0000-00004F010000}"/>
    <cellStyle name="Grey 2" xfId="285" xr:uid="{00000000-0005-0000-0000-000050010000}"/>
    <cellStyle name="Header1" xfId="286" xr:uid="{00000000-0005-0000-0000-000051010000}"/>
    <cellStyle name="Header2" xfId="287" xr:uid="{00000000-0005-0000-0000-000052010000}"/>
    <cellStyle name="Header2 2" xfId="760" xr:uid="{00000000-0005-0000-0000-000053010000}"/>
    <cellStyle name="Heading 1" xfId="288" xr:uid="{00000000-0005-0000-0000-000054010000}"/>
    <cellStyle name="Heading 2" xfId="289" xr:uid="{00000000-0005-0000-0000-000055010000}"/>
    <cellStyle name="Heading 3" xfId="290" xr:uid="{00000000-0005-0000-0000-000056010000}"/>
    <cellStyle name="Heading 4" xfId="291" xr:uid="{00000000-0005-0000-0000-000057010000}"/>
    <cellStyle name="Hyperlink" xfId="292" xr:uid="{00000000-0005-0000-0000-000058010000}"/>
    <cellStyle name="Hyperlink 2" xfId="293" xr:uid="{00000000-0005-0000-0000-000059010000}"/>
    <cellStyle name="Hyperlink 2 2" xfId="294" xr:uid="{00000000-0005-0000-0000-00005A010000}"/>
    <cellStyle name="Hyperlink 2 3" xfId="295" xr:uid="{00000000-0005-0000-0000-00005B010000}"/>
    <cellStyle name="Hyperlink 2 4" xfId="296" xr:uid="{00000000-0005-0000-0000-00005C010000}"/>
    <cellStyle name="Hyperlink 3" xfId="297" xr:uid="{00000000-0005-0000-0000-00005D010000}"/>
    <cellStyle name="Hyperlink 4" xfId="298" xr:uid="{00000000-0005-0000-0000-00005E010000}"/>
    <cellStyle name="Hyperlink 5" xfId="299" xr:uid="{00000000-0005-0000-0000-00005F010000}"/>
    <cellStyle name="Input [yellow]" xfId="300" xr:uid="{00000000-0005-0000-0000-000060010000}"/>
    <cellStyle name="Input [yellow] 2" xfId="301" xr:uid="{00000000-0005-0000-0000-000061010000}"/>
    <cellStyle name="Input [yellow] 2 2" xfId="761" xr:uid="{00000000-0005-0000-0000-000062010000}"/>
    <cellStyle name="Input [yellow] 3" xfId="762" xr:uid="{00000000-0005-0000-0000-000063010000}"/>
    <cellStyle name="Input 2" xfId="302" xr:uid="{00000000-0005-0000-0000-000064010000}"/>
    <cellStyle name="Input 2 2" xfId="303" xr:uid="{00000000-0005-0000-0000-000065010000}"/>
    <cellStyle name="Input 2 3" xfId="304" xr:uid="{00000000-0005-0000-0000-000066010000}"/>
    <cellStyle name="Input 2 3 2" xfId="763" xr:uid="{00000000-0005-0000-0000-000067010000}"/>
    <cellStyle name="Input 2 4" xfId="764" xr:uid="{00000000-0005-0000-0000-000068010000}"/>
    <cellStyle name="Input 3" xfId="305" xr:uid="{00000000-0005-0000-0000-000069010000}"/>
    <cellStyle name="Input 3 2" xfId="765" xr:uid="{00000000-0005-0000-0000-00006A010000}"/>
    <cellStyle name="Insatisfaisant" xfId="306" xr:uid="{00000000-0005-0000-0000-00006B010000}"/>
    <cellStyle name="Lien hypertexte_TFT 12 vs 05" xfId="307" xr:uid="{00000000-0005-0000-0000-00006C010000}"/>
    <cellStyle name="Linked Cell" xfId="308" xr:uid="{00000000-0005-0000-0000-00006D010000}"/>
    <cellStyle name="Migliaia" xfId="791" builtinId="3"/>
    <cellStyle name="Migliaia (0)_ACQUE TOSCANE-PMT DÉTAILLÉ 2000-2004" xfId="309" xr:uid="{00000000-0005-0000-0000-00006F010000}"/>
    <cellStyle name="Migliaia [0] 2" xfId="310" xr:uid="{00000000-0005-0000-0000-000070010000}"/>
    <cellStyle name="Migliaia [0] 2 2" xfId="311" xr:uid="{00000000-0005-0000-0000-000071010000}"/>
    <cellStyle name="Migliaia [0] 2 2 2" xfId="312" xr:uid="{00000000-0005-0000-0000-000072010000}"/>
    <cellStyle name="Migliaia [0] 2 3" xfId="313" xr:uid="{00000000-0005-0000-0000-000073010000}"/>
    <cellStyle name="Migliaia [0] 2 3 2" xfId="314" xr:uid="{00000000-0005-0000-0000-000074010000}"/>
    <cellStyle name="Migliaia [0] 2 4" xfId="315" xr:uid="{00000000-0005-0000-0000-000075010000}"/>
    <cellStyle name="Migliaia [0] 3" xfId="316" xr:uid="{00000000-0005-0000-0000-000076010000}"/>
    <cellStyle name="Migliaia [0] 3 2" xfId="317" xr:uid="{00000000-0005-0000-0000-000077010000}"/>
    <cellStyle name="Migliaia [0] 3 2 2" xfId="318" xr:uid="{00000000-0005-0000-0000-000078010000}"/>
    <cellStyle name="Migliaia [0] 3 3" xfId="319" xr:uid="{00000000-0005-0000-0000-000079010000}"/>
    <cellStyle name="Migliaia [0] 4" xfId="320" xr:uid="{00000000-0005-0000-0000-00007A010000}"/>
    <cellStyle name="Migliaia [0] 4 2" xfId="321" xr:uid="{00000000-0005-0000-0000-00007B010000}"/>
    <cellStyle name="Migliaia [0] 4 2 2" xfId="322" xr:uid="{00000000-0005-0000-0000-00007C010000}"/>
    <cellStyle name="Migliaia 10" xfId="323" xr:uid="{00000000-0005-0000-0000-00007D010000}"/>
    <cellStyle name="Migliaia 10 2" xfId="324" xr:uid="{00000000-0005-0000-0000-00007E010000}"/>
    <cellStyle name="Migliaia 11" xfId="325" xr:uid="{00000000-0005-0000-0000-00007F010000}"/>
    <cellStyle name="Migliaia 11 2" xfId="326" xr:uid="{00000000-0005-0000-0000-000080010000}"/>
    <cellStyle name="Migliaia 11 2 2" xfId="327" xr:uid="{00000000-0005-0000-0000-000081010000}"/>
    <cellStyle name="Migliaia 11 3" xfId="328" xr:uid="{00000000-0005-0000-0000-000082010000}"/>
    <cellStyle name="Migliaia 12" xfId="329" xr:uid="{00000000-0005-0000-0000-000083010000}"/>
    <cellStyle name="Migliaia 12 2" xfId="330" xr:uid="{00000000-0005-0000-0000-000084010000}"/>
    <cellStyle name="Migliaia 13" xfId="331" xr:uid="{00000000-0005-0000-0000-000085010000}"/>
    <cellStyle name="Migliaia 13 2" xfId="332" xr:uid="{00000000-0005-0000-0000-000086010000}"/>
    <cellStyle name="Migliaia 14" xfId="333" xr:uid="{00000000-0005-0000-0000-000087010000}"/>
    <cellStyle name="Migliaia 15" xfId="334" xr:uid="{00000000-0005-0000-0000-000088010000}"/>
    <cellStyle name="Migliaia 16" xfId="335" xr:uid="{00000000-0005-0000-0000-000089010000}"/>
    <cellStyle name="Migliaia 17" xfId="336" xr:uid="{00000000-0005-0000-0000-00008A010000}"/>
    <cellStyle name="Migliaia 18" xfId="766" xr:uid="{00000000-0005-0000-0000-00008B010000}"/>
    <cellStyle name="Migliaia 2" xfId="1" xr:uid="{00000000-0005-0000-0000-00008C010000}"/>
    <cellStyle name="Migliaia 2 2" xfId="337" xr:uid="{00000000-0005-0000-0000-00008D010000}"/>
    <cellStyle name="Migliaia 2 2 2" xfId="338" xr:uid="{00000000-0005-0000-0000-00008E010000}"/>
    <cellStyle name="Migliaia 2 2 3" xfId="339" xr:uid="{00000000-0005-0000-0000-00008F010000}"/>
    <cellStyle name="Migliaia 2 2 3 2" xfId="802" xr:uid="{00000000-0005-0000-0000-000090010000}"/>
    <cellStyle name="Migliaia 2 2 4" xfId="340" xr:uid="{00000000-0005-0000-0000-000091010000}"/>
    <cellStyle name="Migliaia 2 2 5" xfId="801" xr:uid="{00000000-0005-0000-0000-000092010000}"/>
    <cellStyle name="Migliaia 2 3" xfId="341" xr:uid="{00000000-0005-0000-0000-000093010000}"/>
    <cellStyle name="Migliaia 2 4" xfId="342" xr:uid="{00000000-0005-0000-0000-000094010000}"/>
    <cellStyle name="Migliaia 2 4 2" xfId="803" xr:uid="{00000000-0005-0000-0000-000095010000}"/>
    <cellStyle name="Migliaia 2 5" xfId="718" xr:uid="{00000000-0005-0000-0000-000096010000}"/>
    <cellStyle name="Migliaia 2 dec." xfId="343" xr:uid="{00000000-0005-0000-0000-000097010000}"/>
    <cellStyle name="Migliaia 3" xfId="344" xr:uid="{00000000-0005-0000-0000-000098010000}"/>
    <cellStyle name="Migliaia 3 2" xfId="345" xr:uid="{00000000-0005-0000-0000-000099010000}"/>
    <cellStyle name="Migliaia 3 3" xfId="346" xr:uid="{00000000-0005-0000-0000-00009A010000}"/>
    <cellStyle name="Migliaia 3 3 2" xfId="347" xr:uid="{00000000-0005-0000-0000-00009B010000}"/>
    <cellStyle name="Migliaia 3 4" xfId="348" xr:uid="{00000000-0005-0000-0000-00009C010000}"/>
    <cellStyle name="Migliaia 3 5" xfId="349" xr:uid="{00000000-0005-0000-0000-00009D010000}"/>
    <cellStyle name="Migliaia 4" xfId="350" xr:uid="{00000000-0005-0000-0000-00009E010000}"/>
    <cellStyle name="Migliaia 4 2" xfId="351" xr:uid="{00000000-0005-0000-0000-00009F010000}"/>
    <cellStyle name="Migliaia 4 3" xfId="352" xr:uid="{00000000-0005-0000-0000-0000A0010000}"/>
    <cellStyle name="Migliaia 4 4" xfId="353" xr:uid="{00000000-0005-0000-0000-0000A1010000}"/>
    <cellStyle name="Migliaia 5" xfId="354" xr:uid="{00000000-0005-0000-0000-0000A2010000}"/>
    <cellStyle name="Migliaia 5 2" xfId="355" xr:uid="{00000000-0005-0000-0000-0000A3010000}"/>
    <cellStyle name="Migliaia 5 2 2" xfId="356" xr:uid="{00000000-0005-0000-0000-0000A4010000}"/>
    <cellStyle name="Migliaia 5 3" xfId="357" xr:uid="{00000000-0005-0000-0000-0000A5010000}"/>
    <cellStyle name="Migliaia 6" xfId="358" xr:uid="{00000000-0005-0000-0000-0000A6010000}"/>
    <cellStyle name="Migliaia 6 2" xfId="359" xr:uid="{00000000-0005-0000-0000-0000A7010000}"/>
    <cellStyle name="Migliaia 6 2 2" xfId="360" xr:uid="{00000000-0005-0000-0000-0000A8010000}"/>
    <cellStyle name="Migliaia 6 3" xfId="361" xr:uid="{00000000-0005-0000-0000-0000A9010000}"/>
    <cellStyle name="Migliaia 7" xfId="362" xr:uid="{00000000-0005-0000-0000-0000AA010000}"/>
    <cellStyle name="Migliaia 7 2" xfId="363" xr:uid="{00000000-0005-0000-0000-0000AB010000}"/>
    <cellStyle name="Migliaia 7 2 2" xfId="364" xr:uid="{00000000-0005-0000-0000-0000AC010000}"/>
    <cellStyle name="Migliaia 7 3" xfId="365" xr:uid="{00000000-0005-0000-0000-0000AD010000}"/>
    <cellStyle name="Migliaia 7 4" xfId="366" xr:uid="{00000000-0005-0000-0000-0000AE010000}"/>
    <cellStyle name="Migliaia 8" xfId="367" xr:uid="{00000000-0005-0000-0000-0000AF010000}"/>
    <cellStyle name="Migliaia 8 2" xfId="368" xr:uid="{00000000-0005-0000-0000-0000B0010000}"/>
    <cellStyle name="Migliaia 8 2 2" xfId="369" xr:uid="{00000000-0005-0000-0000-0000B1010000}"/>
    <cellStyle name="Migliaia 8 2 2 2" xfId="370" xr:uid="{00000000-0005-0000-0000-0000B2010000}"/>
    <cellStyle name="Migliaia 8 2 3" xfId="371" xr:uid="{00000000-0005-0000-0000-0000B3010000}"/>
    <cellStyle name="Migliaia 8 3" xfId="372" xr:uid="{00000000-0005-0000-0000-0000B4010000}"/>
    <cellStyle name="Migliaia 8 3 2" xfId="373" xr:uid="{00000000-0005-0000-0000-0000B5010000}"/>
    <cellStyle name="Migliaia 8 4" xfId="374" xr:uid="{00000000-0005-0000-0000-0000B6010000}"/>
    <cellStyle name="Migliaia 8 5" xfId="375" xr:uid="{00000000-0005-0000-0000-0000B7010000}"/>
    <cellStyle name="Migliaia 8 6" xfId="376" xr:uid="{00000000-0005-0000-0000-0000B8010000}"/>
    <cellStyle name="Migliaia 9" xfId="377" xr:uid="{00000000-0005-0000-0000-0000B9010000}"/>
    <cellStyle name="Migliaia 9 2" xfId="378" xr:uid="{00000000-0005-0000-0000-0000BA010000}"/>
    <cellStyle name="Millares 2" xfId="379" xr:uid="{00000000-0005-0000-0000-0000BB010000}"/>
    <cellStyle name="Milliers [.00]" xfId="380" xr:uid="{00000000-0005-0000-0000-0000BC010000}"/>
    <cellStyle name="Milliers [0]_Sauvegarde de Sauvegarde de Modello caso base rev7bis IVA" xfId="381" xr:uid="{00000000-0005-0000-0000-0000BD010000}"/>
    <cellStyle name="Milliers 2" xfId="382" xr:uid="{00000000-0005-0000-0000-0000BE010000}"/>
    <cellStyle name="Milliers_ANALISI RICAVI 2008 2009" xfId="383" xr:uid="{00000000-0005-0000-0000-0000BF010000}"/>
    <cellStyle name="Neutral" xfId="384" xr:uid="{00000000-0005-0000-0000-0000C0010000}"/>
    <cellStyle name="Neutrale 2" xfId="385" xr:uid="{00000000-0005-0000-0000-0000C1010000}"/>
    <cellStyle name="Neutrale 2 2" xfId="386" xr:uid="{00000000-0005-0000-0000-0000C2010000}"/>
    <cellStyle name="Neutrale 2 3" xfId="387" xr:uid="{00000000-0005-0000-0000-0000C3010000}"/>
    <cellStyle name="Neutre" xfId="388" xr:uid="{00000000-0005-0000-0000-0000C4010000}"/>
    <cellStyle name="New Times Roman" xfId="389" xr:uid="{00000000-0005-0000-0000-0000C5010000}"/>
    <cellStyle name="New Times Roman 2" xfId="390" xr:uid="{00000000-0005-0000-0000-0000C6010000}"/>
    <cellStyle name="New Times Roman 3" xfId="391" xr:uid="{00000000-0005-0000-0000-0000C7010000}"/>
    <cellStyle name="Non défini" xfId="392" xr:uid="{00000000-0005-0000-0000-0000C8010000}"/>
    <cellStyle name="Normal - Style1" xfId="393" xr:uid="{00000000-0005-0000-0000-0000C9010000}"/>
    <cellStyle name="Normal 2" xfId="394" xr:uid="{00000000-0005-0000-0000-0000CA010000}"/>
    <cellStyle name="Normal 3" xfId="395" xr:uid="{00000000-0005-0000-0000-0000CB010000}"/>
    <cellStyle name="Normal 4" xfId="396" xr:uid="{00000000-0005-0000-0000-0000CC010000}"/>
    <cellStyle name="Normal_2210" xfId="397" xr:uid="{00000000-0005-0000-0000-0000CD010000}"/>
    <cellStyle name="Normale" xfId="0" builtinId="0"/>
    <cellStyle name="Normale 10" xfId="398" xr:uid="{00000000-0005-0000-0000-0000CF010000}"/>
    <cellStyle name="Normale 10 2" xfId="399" xr:uid="{00000000-0005-0000-0000-0000D0010000}"/>
    <cellStyle name="Normale 11" xfId="400" xr:uid="{00000000-0005-0000-0000-0000D1010000}"/>
    <cellStyle name="Normale 11 2" xfId="401" xr:uid="{00000000-0005-0000-0000-0000D2010000}"/>
    <cellStyle name="Normale 12" xfId="402" xr:uid="{00000000-0005-0000-0000-0000D3010000}"/>
    <cellStyle name="Normale 12 2" xfId="403" xr:uid="{00000000-0005-0000-0000-0000D4010000}"/>
    <cellStyle name="Normale 13" xfId="404" xr:uid="{00000000-0005-0000-0000-0000D5010000}"/>
    <cellStyle name="Normale 13 2" xfId="405" xr:uid="{00000000-0005-0000-0000-0000D6010000}"/>
    <cellStyle name="Normale 13 2 2" xfId="406" xr:uid="{00000000-0005-0000-0000-0000D7010000}"/>
    <cellStyle name="Normale 13 3" xfId="407" xr:uid="{00000000-0005-0000-0000-0000D8010000}"/>
    <cellStyle name="Normale 14" xfId="408" xr:uid="{00000000-0005-0000-0000-0000D9010000}"/>
    <cellStyle name="Normale 14 2" xfId="409" xr:uid="{00000000-0005-0000-0000-0000DA010000}"/>
    <cellStyle name="Normale 14 2 2" xfId="410" xr:uid="{00000000-0005-0000-0000-0000DB010000}"/>
    <cellStyle name="Normale 14 3" xfId="411" xr:uid="{00000000-0005-0000-0000-0000DC010000}"/>
    <cellStyle name="Normale 15" xfId="412" xr:uid="{00000000-0005-0000-0000-0000DD010000}"/>
    <cellStyle name="Normale 15 2" xfId="413" xr:uid="{00000000-0005-0000-0000-0000DE010000}"/>
    <cellStyle name="Normale 15 2 2" xfId="414" xr:uid="{00000000-0005-0000-0000-0000DF010000}"/>
    <cellStyle name="Normale 15 3" xfId="415" xr:uid="{00000000-0005-0000-0000-0000E0010000}"/>
    <cellStyle name="Normale 16" xfId="416" xr:uid="{00000000-0005-0000-0000-0000E1010000}"/>
    <cellStyle name="Normale 16 2" xfId="417" xr:uid="{00000000-0005-0000-0000-0000E2010000}"/>
    <cellStyle name="Normale 17" xfId="418" xr:uid="{00000000-0005-0000-0000-0000E3010000}"/>
    <cellStyle name="Normale 17 2" xfId="419" xr:uid="{00000000-0005-0000-0000-0000E4010000}"/>
    <cellStyle name="Normale 17 2 2" xfId="420" xr:uid="{00000000-0005-0000-0000-0000E5010000}"/>
    <cellStyle name="Normale 17 2 2 2" xfId="421" xr:uid="{00000000-0005-0000-0000-0000E6010000}"/>
    <cellStyle name="Normale 17 2 2 3" xfId="422" xr:uid="{00000000-0005-0000-0000-0000E7010000}"/>
    <cellStyle name="Normale 17 2 2 4" xfId="423" xr:uid="{00000000-0005-0000-0000-0000E8010000}"/>
    <cellStyle name="Normale 17 2 3" xfId="424" xr:uid="{00000000-0005-0000-0000-0000E9010000}"/>
    <cellStyle name="Normale 17 2 3 2" xfId="425" xr:uid="{00000000-0005-0000-0000-0000EA010000}"/>
    <cellStyle name="Normale 17 2 4" xfId="426" xr:uid="{00000000-0005-0000-0000-0000EB010000}"/>
    <cellStyle name="Normale 17 2 5" xfId="427" xr:uid="{00000000-0005-0000-0000-0000EC010000}"/>
    <cellStyle name="Normale 17 2 6" xfId="428" xr:uid="{00000000-0005-0000-0000-0000ED010000}"/>
    <cellStyle name="Normale 17 2 7" xfId="429" xr:uid="{00000000-0005-0000-0000-0000EE010000}"/>
    <cellStyle name="Normale 17 2 8" xfId="767" xr:uid="{00000000-0005-0000-0000-0000EF010000}"/>
    <cellStyle name="Normale 17 2_foglio ulteriori specif x rocco_v2(1)" xfId="430" xr:uid="{00000000-0005-0000-0000-0000F0010000}"/>
    <cellStyle name="Normale 17 3" xfId="431" xr:uid="{00000000-0005-0000-0000-0000F1010000}"/>
    <cellStyle name="Normale 17 3 2" xfId="432" xr:uid="{00000000-0005-0000-0000-0000F2010000}"/>
    <cellStyle name="Normale 17 3 2 2" xfId="433" xr:uid="{00000000-0005-0000-0000-0000F3010000}"/>
    <cellStyle name="Normale 17 3 3" xfId="434" xr:uid="{00000000-0005-0000-0000-0000F4010000}"/>
    <cellStyle name="Normale 17 3 3 2" xfId="435" xr:uid="{00000000-0005-0000-0000-0000F5010000}"/>
    <cellStyle name="Normale 17 3 4" xfId="436" xr:uid="{00000000-0005-0000-0000-0000F6010000}"/>
    <cellStyle name="Normale 17 4" xfId="437" xr:uid="{00000000-0005-0000-0000-0000F7010000}"/>
    <cellStyle name="Normale 17 4 2" xfId="438" xr:uid="{00000000-0005-0000-0000-0000F8010000}"/>
    <cellStyle name="Normale 17 5" xfId="439" xr:uid="{00000000-0005-0000-0000-0000F9010000}"/>
    <cellStyle name="Normale 17 5 2" xfId="440" xr:uid="{00000000-0005-0000-0000-0000FA010000}"/>
    <cellStyle name="Normale 17 6" xfId="441" xr:uid="{00000000-0005-0000-0000-0000FB010000}"/>
    <cellStyle name="Normale 17 6 2" xfId="442" xr:uid="{00000000-0005-0000-0000-0000FC010000}"/>
    <cellStyle name="Normale 18" xfId="443" xr:uid="{00000000-0005-0000-0000-0000FD010000}"/>
    <cellStyle name="Normale 18 2" xfId="444" xr:uid="{00000000-0005-0000-0000-0000FE010000}"/>
    <cellStyle name="Normale 18 2 2" xfId="445" xr:uid="{00000000-0005-0000-0000-0000FF010000}"/>
    <cellStyle name="Normale 18 3" xfId="446" xr:uid="{00000000-0005-0000-0000-000000020000}"/>
    <cellStyle name="Normale 19" xfId="447" xr:uid="{00000000-0005-0000-0000-000001020000}"/>
    <cellStyle name="Normale 19 2" xfId="448" xr:uid="{00000000-0005-0000-0000-000002020000}"/>
    <cellStyle name="Normale 2" xfId="449" xr:uid="{00000000-0005-0000-0000-000003020000}"/>
    <cellStyle name="Normale 2 2" xfId="450" xr:uid="{00000000-0005-0000-0000-000004020000}"/>
    <cellStyle name="Normale 2 2 2" xfId="451" xr:uid="{00000000-0005-0000-0000-000005020000}"/>
    <cellStyle name="Normale 2 2 3" xfId="452" xr:uid="{00000000-0005-0000-0000-000006020000}"/>
    <cellStyle name="Normale 2 2 4" xfId="453" xr:uid="{00000000-0005-0000-0000-000007020000}"/>
    <cellStyle name="Normale 2 2 5" xfId="454" xr:uid="{00000000-0005-0000-0000-000008020000}"/>
    <cellStyle name="Normale 2 3" xfId="455" xr:uid="{00000000-0005-0000-0000-000009020000}"/>
    <cellStyle name="Normale 2 3 2" xfId="456" xr:uid="{00000000-0005-0000-0000-00000A020000}"/>
    <cellStyle name="Normale 2 3 3" xfId="457" xr:uid="{00000000-0005-0000-0000-00000B020000}"/>
    <cellStyle name="Normale 2 4" xfId="458" xr:uid="{00000000-0005-0000-0000-00000C020000}"/>
    <cellStyle name="Normale 2 4 2" xfId="459" xr:uid="{00000000-0005-0000-0000-00000D020000}"/>
    <cellStyle name="Normale 2 4 3" xfId="460" xr:uid="{00000000-0005-0000-0000-00000E020000}"/>
    <cellStyle name="Normale 2 4 4" xfId="461" xr:uid="{00000000-0005-0000-0000-00000F020000}"/>
    <cellStyle name="Normale 2 5" xfId="462" xr:uid="{00000000-0005-0000-0000-000010020000}"/>
    <cellStyle name="Normale 2 6" xfId="463" xr:uid="{00000000-0005-0000-0000-000011020000}"/>
    <cellStyle name="Normale 2 7" xfId="464" xr:uid="{00000000-0005-0000-0000-000012020000}"/>
    <cellStyle name="Normale 2 8" xfId="465" xr:uid="{00000000-0005-0000-0000-000013020000}"/>
    <cellStyle name="Normale 2_ASTEM_foglio lavoro" xfId="466" xr:uid="{00000000-0005-0000-0000-000014020000}"/>
    <cellStyle name="Normale 20" xfId="467" xr:uid="{00000000-0005-0000-0000-000015020000}"/>
    <cellStyle name="Normale 20 2" xfId="468" xr:uid="{00000000-0005-0000-0000-000016020000}"/>
    <cellStyle name="Normale 20 2 2" xfId="469" xr:uid="{00000000-0005-0000-0000-000017020000}"/>
    <cellStyle name="Normale 20 2 2 2" xfId="470" xr:uid="{00000000-0005-0000-0000-000018020000}"/>
    <cellStyle name="Normale 20 2 3" xfId="471" xr:uid="{00000000-0005-0000-0000-000019020000}"/>
    <cellStyle name="Normale 20 3" xfId="472" xr:uid="{00000000-0005-0000-0000-00001A020000}"/>
    <cellStyle name="Normale 20 3 2" xfId="473" xr:uid="{00000000-0005-0000-0000-00001B020000}"/>
    <cellStyle name="Normale 20 4" xfId="474" xr:uid="{00000000-0005-0000-0000-00001C020000}"/>
    <cellStyle name="Normale 21" xfId="475" xr:uid="{00000000-0005-0000-0000-00001D020000}"/>
    <cellStyle name="Normale 21 2" xfId="476" xr:uid="{00000000-0005-0000-0000-00001E020000}"/>
    <cellStyle name="Normale 21 2 2" xfId="477" xr:uid="{00000000-0005-0000-0000-00001F020000}"/>
    <cellStyle name="Normale 21 2 2 2" xfId="478" xr:uid="{00000000-0005-0000-0000-000020020000}"/>
    <cellStyle name="Normale 21 2 3" xfId="479" xr:uid="{00000000-0005-0000-0000-000021020000}"/>
    <cellStyle name="Normale 21 2 3 2" xfId="480" xr:uid="{00000000-0005-0000-0000-000022020000}"/>
    <cellStyle name="Normale 21 2 4" xfId="481" xr:uid="{00000000-0005-0000-0000-000023020000}"/>
    <cellStyle name="Normale 21 2 4 2" xfId="482" xr:uid="{00000000-0005-0000-0000-000024020000}"/>
    <cellStyle name="Normale 21 2 5" xfId="483" xr:uid="{00000000-0005-0000-0000-000025020000}"/>
    <cellStyle name="Normale 21 3" xfId="484" xr:uid="{00000000-0005-0000-0000-000026020000}"/>
    <cellStyle name="Normale 21 3 2" xfId="485" xr:uid="{00000000-0005-0000-0000-000027020000}"/>
    <cellStyle name="Normale 21 4" xfId="486" xr:uid="{00000000-0005-0000-0000-000028020000}"/>
    <cellStyle name="Normale 22" xfId="487" xr:uid="{00000000-0005-0000-0000-000029020000}"/>
    <cellStyle name="Normale 22 2" xfId="488" xr:uid="{00000000-0005-0000-0000-00002A020000}"/>
    <cellStyle name="Normale 23" xfId="489" xr:uid="{00000000-0005-0000-0000-00002B020000}"/>
    <cellStyle name="Normale 23 2" xfId="490" xr:uid="{00000000-0005-0000-0000-00002C020000}"/>
    <cellStyle name="Normale 24" xfId="491" xr:uid="{00000000-0005-0000-0000-00002D020000}"/>
    <cellStyle name="Normale 25" xfId="492" xr:uid="{00000000-0005-0000-0000-00002E020000}"/>
    <cellStyle name="Normale 26" xfId="493" xr:uid="{00000000-0005-0000-0000-00002F020000}"/>
    <cellStyle name="Normale 27" xfId="494" xr:uid="{00000000-0005-0000-0000-000030020000}"/>
    <cellStyle name="Normale 28" xfId="495" xr:uid="{00000000-0005-0000-0000-000031020000}"/>
    <cellStyle name="Normale 3" xfId="496" xr:uid="{00000000-0005-0000-0000-000032020000}"/>
    <cellStyle name="Normale 3 2" xfId="497" xr:uid="{00000000-0005-0000-0000-000033020000}"/>
    <cellStyle name="Normale 3 2 2" xfId="498" xr:uid="{00000000-0005-0000-0000-000034020000}"/>
    <cellStyle name="Normale 3 2 3" xfId="499" xr:uid="{00000000-0005-0000-0000-000035020000}"/>
    <cellStyle name="Normale 3 3" xfId="500" xr:uid="{00000000-0005-0000-0000-000036020000}"/>
    <cellStyle name="Normale 3 3 2" xfId="501" xr:uid="{00000000-0005-0000-0000-000037020000}"/>
    <cellStyle name="Normale 3 3 3" xfId="502" xr:uid="{00000000-0005-0000-0000-000038020000}"/>
    <cellStyle name="Normale 3 3 4" xfId="503" xr:uid="{00000000-0005-0000-0000-000039020000}"/>
    <cellStyle name="Normale 3 4" xfId="504" xr:uid="{00000000-0005-0000-0000-00003A020000}"/>
    <cellStyle name="Normale 3 5" xfId="505" xr:uid="{00000000-0005-0000-0000-00003B020000}"/>
    <cellStyle name="Normale 3 5 2" xfId="506" xr:uid="{00000000-0005-0000-0000-00003C020000}"/>
    <cellStyle name="Normale 3 6" xfId="507" xr:uid="{00000000-0005-0000-0000-00003D020000}"/>
    <cellStyle name="Normale 3 7" xfId="508" xr:uid="{00000000-0005-0000-0000-00003E020000}"/>
    <cellStyle name="Normale 3_Modello Tariffario_rev00" xfId="509" xr:uid="{00000000-0005-0000-0000-00003F020000}"/>
    <cellStyle name="Normale 4" xfId="510" xr:uid="{00000000-0005-0000-0000-000040020000}"/>
    <cellStyle name="Normale 4 2" xfId="511" xr:uid="{00000000-0005-0000-0000-000041020000}"/>
    <cellStyle name="Normale 4 2 2" xfId="512" xr:uid="{00000000-0005-0000-0000-000042020000}"/>
    <cellStyle name="Normale 4 3" xfId="513" xr:uid="{00000000-0005-0000-0000-000043020000}"/>
    <cellStyle name="Normale 4 3 2" xfId="514" xr:uid="{00000000-0005-0000-0000-000044020000}"/>
    <cellStyle name="Normale 4 4" xfId="515" xr:uid="{00000000-0005-0000-0000-000045020000}"/>
    <cellStyle name="Normale 4 4 2" xfId="516" xr:uid="{00000000-0005-0000-0000-000046020000}"/>
    <cellStyle name="Normale 4 4 2 2" xfId="517" xr:uid="{00000000-0005-0000-0000-000047020000}"/>
    <cellStyle name="Normale 4 4 3" xfId="518" xr:uid="{00000000-0005-0000-0000-000048020000}"/>
    <cellStyle name="Normale 4 5" xfId="519" xr:uid="{00000000-0005-0000-0000-000049020000}"/>
    <cellStyle name="Normale 4 5 2" xfId="520" xr:uid="{00000000-0005-0000-0000-00004A020000}"/>
    <cellStyle name="Normale 4 6" xfId="521" xr:uid="{00000000-0005-0000-0000-00004B020000}"/>
    <cellStyle name="Normale 4 7" xfId="522" xr:uid="{00000000-0005-0000-0000-00004C020000}"/>
    <cellStyle name="Normale 4 8" xfId="523" xr:uid="{00000000-0005-0000-0000-00004D020000}"/>
    <cellStyle name="Normale 4_Modello Tariffario_rev00" xfId="524" xr:uid="{00000000-0005-0000-0000-00004E020000}"/>
    <cellStyle name="Normale 5" xfId="525" xr:uid="{00000000-0005-0000-0000-00004F020000}"/>
    <cellStyle name="Normale 5 2" xfId="526" xr:uid="{00000000-0005-0000-0000-000050020000}"/>
    <cellStyle name="Normale 5 2 2" xfId="527" xr:uid="{00000000-0005-0000-0000-000051020000}"/>
    <cellStyle name="Normale 5 2 2 2" xfId="528" xr:uid="{00000000-0005-0000-0000-000052020000}"/>
    <cellStyle name="Normale 5 2 3" xfId="529" xr:uid="{00000000-0005-0000-0000-000053020000}"/>
    <cellStyle name="Normale 5 3" xfId="530" xr:uid="{00000000-0005-0000-0000-000054020000}"/>
    <cellStyle name="Normale 5 3 2" xfId="531" xr:uid="{00000000-0005-0000-0000-000055020000}"/>
    <cellStyle name="Normale 5 4" xfId="532" xr:uid="{00000000-0005-0000-0000-000056020000}"/>
    <cellStyle name="Normale 5 5" xfId="533" xr:uid="{00000000-0005-0000-0000-000057020000}"/>
    <cellStyle name="Normale 5 6" xfId="534" xr:uid="{00000000-0005-0000-0000-000058020000}"/>
    <cellStyle name="Normale 6" xfId="535" xr:uid="{00000000-0005-0000-0000-000059020000}"/>
    <cellStyle name="Normale 6 2" xfId="536" xr:uid="{00000000-0005-0000-0000-00005A020000}"/>
    <cellStyle name="Normale 6 3" xfId="537" xr:uid="{00000000-0005-0000-0000-00005B020000}"/>
    <cellStyle name="Normale 6 3 2" xfId="538" xr:uid="{00000000-0005-0000-0000-00005C020000}"/>
    <cellStyle name="Normale 6 4" xfId="539" xr:uid="{00000000-0005-0000-0000-00005D020000}"/>
    <cellStyle name="Normale 6 5" xfId="540" xr:uid="{00000000-0005-0000-0000-00005E020000}"/>
    <cellStyle name="Normale 6 6" xfId="541" xr:uid="{00000000-0005-0000-0000-00005F020000}"/>
    <cellStyle name="Normale 6_Sviluppo_tariffario_approvato_17022009_Protos" xfId="542" xr:uid="{00000000-0005-0000-0000-000060020000}"/>
    <cellStyle name="Normale 7" xfId="543" xr:uid="{00000000-0005-0000-0000-000061020000}"/>
    <cellStyle name="Normale 7 2" xfId="544" xr:uid="{00000000-0005-0000-0000-000062020000}"/>
    <cellStyle name="Normale 7 3" xfId="545" xr:uid="{00000000-0005-0000-0000-000063020000}"/>
    <cellStyle name="Normale 7 4" xfId="546" xr:uid="{00000000-0005-0000-0000-000064020000}"/>
    <cellStyle name="Normale 8" xfId="547" xr:uid="{00000000-0005-0000-0000-000065020000}"/>
    <cellStyle name="Normale 8 2" xfId="548" xr:uid="{00000000-0005-0000-0000-000066020000}"/>
    <cellStyle name="Normale 8 3" xfId="549" xr:uid="{00000000-0005-0000-0000-000067020000}"/>
    <cellStyle name="Normale 8 4" xfId="550" xr:uid="{00000000-0005-0000-0000-000068020000}"/>
    <cellStyle name="Normale 9" xfId="551" xr:uid="{00000000-0005-0000-0000-000069020000}"/>
    <cellStyle name="Normale 9 2" xfId="552" xr:uid="{00000000-0005-0000-0000-00006A020000}"/>
    <cellStyle name="Normale 9 3" xfId="553" xr:uid="{00000000-0005-0000-0000-00006B020000}"/>
    <cellStyle name="Normale 9 4" xfId="554" xr:uid="{00000000-0005-0000-0000-00006C020000}"/>
    <cellStyle name="normální_List1" xfId="555" xr:uid="{00000000-0005-0000-0000-00006D020000}"/>
    <cellStyle name="Nota 2" xfId="556" xr:uid="{00000000-0005-0000-0000-00006E020000}"/>
    <cellStyle name="Nota 2 2" xfId="557" xr:uid="{00000000-0005-0000-0000-00006F020000}"/>
    <cellStyle name="Nota 2 2 2" xfId="558" xr:uid="{00000000-0005-0000-0000-000070020000}"/>
    <cellStyle name="Nota 2 2 2 2" xfId="768" xr:uid="{00000000-0005-0000-0000-000071020000}"/>
    <cellStyle name="Nota 2 2 3" xfId="769" xr:uid="{00000000-0005-0000-0000-000072020000}"/>
    <cellStyle name="Nota 2 3" xfId="559" xr:uid="{00000000-0005-0000-0000-000073020000}"/>
    <cellStyle name="Nota 2 3 2" xfId="770" xr:uid="{00000000-0005-0000-0000-000074020000}"/>
    <cellStyle name="Nota 2 4" xfId="560" xr:uid="{00000000-0005-0000-0000-000075020000}"/>
    <cellStyle name="Nota 2 4 2" xfId="771" xr:uid="{00000000-0005-0000-0000-000076020000}"/>
    <cellStyle name="Nota 2 5" xfId="772" xr:uid="{00000000-0005-0000-0000-000077020000}"/>
    <cellStyle name="Nota 3" xfId="561" xr:uid="{00000000-0005-0000-0000-000078020000}"/>
    <cellStyle name="Nota 3 2" xfId="562" xr:uid="{00000000-0005-0000-0000-000079020000}"/>
    <cellStyle name="Nota 3 2 2" xfId="773" xr:uid="{00000000-0005-0000-0000-00007A020000}"/>
    <cellStyle name="Nota 3 3" xfId="563" xr:uid="{00000000-0005-0000-0000-00007B020000}"/>
    <cellStyle name="Nota 3 3 2" xfId="774" xr:uid="{00000000-0005-0000-0000-00007C020000}"/>
    <cellStyle name="Nota 3 4" xfId="775" xr:uid="{00000000-0005-0000-0000-00007D020000}"/>
    <cellStyle name="Note" xfId="564" xr:uid="{00000000-0005-0000-0000-00007E020000}"/>
    <cellStyle name="Note 2" xfId="565" xr:uid="{00000000-0005-0000-0000-00007F020000}"/>
    <cellStyle name="Note 2 2" xfId="566" xr:uid="{00000000-0005-0000-0000-000080020000}"/>
    <cellStyle name="Note 2 2 2" xfId="776" xr:uid="{00000000-0005-0000-0000-000081020000}"/>
    <cellStyle name="Note 2 3" xfId="777" xr:uid="{00000000-0005-0000-0000-000082020000}"/>
    <cellStyle name="Note 3" xfId="567" xr:uid="{00000000-0005-0000-0000-000083020000}"/>
    <cellStyle name="Note 3 2" xfId="778" xr:uid="{00000000-0005-0000-0000-000084020000}"/>
    <cellStyle name="Note 4" xfId="779" xr:uid="{00000000-0005-0000-0000-000085020000}"/>
    <cellStyle name="Numbers" xfId="568" xr:uid="{00000000-0005-0000-0000-000086020000}"/>
    <cellStyle name="Output 2" xfId="569" xr:uid="{00000000-0005-0000-0000-000087020000}"/>
    <cellStyle name="Output 2 2" xfId="570" xr:uid="{00000000-0005-0000-0000-000088020000}"/>
    <cellStyle name="Output 2 3" xfId="571" xr:uid="{00000000-0005-0000-0000-000089020000}"/>
    <cellStyle name="Output 2 3 2" xfId="780" xr:uid="{00000000-0005-0000-0000-00008A020000}"/>
    <cellStyle name="Output 2 4" xfId="781" xr:uid="{00000000-0005-0000-0000-00008B020000}"/>
    <cellStyle name="Percent [2]" xfId="572" xr:uid="{00000000-0005-0000-0000-00008C020000}"/>
    <cellStyle name="Percent_Sheet" xfId="573" xr:uid="{00000000-0005-0000-0000-00008D020000}"/>
    <cellStyle name="Percentuale" xfId="795" builtinId="5"/>
    <cellStyle name="Percentuale (0,00%)" xfId="574" xr:uid="{00000000-0005-0000-0000-00008F020000}"/>
    <cellStyle name="Percentuale 10" xfId="575" xr:uid="{00000000-0005-0000-0000-000090020000}"/>
    <cellStyle name="Percentuale 10 2" xfId="576" xr:uid="{00000000-0005-0000-0000-000091020000}"/>
    <cellStyle name="Percentuale 10 2 2" xfId="577" xr:uid="{00000000-0005-0000-0000-000092020000}"/>
    <cellStyle name="Percentuale 10 3" xfId="578" xr:uid="{00000000-0005-0000-0000-000093020000}"/>
    <cellStyle name="Percentuale 11" xfId="579" xr:uid="{00000000-0005-0000-0000-000094020000}"/>
    <cellStyle name="Percentuale 11 2" xfId="580" xr:uid="{00000000-0005-0000-0000-000095020000}"/>
    <cellStyle name="Percentuale 11 2 2" xfId="581" xr:uid="{00000000-0005-0000-0000-000096020000}"/>
    <cellStyle name="Percentuale 11 2 2 2" xfId="582" xr:uid="{00000000-0005-0000-0000-000097020000}"/>
    <cellStyle name="Percentuale 11 2 3" xfId="583" xr:uid="{00000000-0005-0000-0000-000098020000}"/>
    <cellStyle name="Percentuale 11 3" xfId="584" xr:uid="{00000000-0005-0000-0000-000099020000}"/>
    <cellStyle name="Percentuale 11 3 2" xfId="585" xr:uid="{00000000-0005-0000-0000-00009A020000}"/>
    <cellStyle name="Percentuale 11 4" xfId="586" xr:uid="{00000000-0005-0000-0000-00009B020000}"/>
    <cellStyle name="Percentuale 12" xfId="587" xr:uid="{00000000-0005-0000-0000-00009C020000}"/>
    <cellStyle name="Percentuale 12 2" xfId="588" xr:uid="{00000000-0005-0000-0000-00009D020000}"/>
    <cellStyle name="Percentuale 13" xfId="589" xr:uid="{00000000-0005-0000-0000-00009E020000}"/>
    <cellStyle name="Percentuale 13 2" xfId="590" xr:uid="{00000000-0005-0000-0000-00009F020000}"/>
    <cellStyle name="Percentuale 13 2 2" xfId="591" xr:uid="{00000000-0005-0000-0000-0000A0020000}"/>
    <cellStyle name="Percentuale 13 3" xfId="592" xr:uid="{00000000-0005-0000-0000-0000A1020000}"/>
    <cellStyle name="Percentuale 14" xfId="593" xr:uid="{00000000-0005-0000-0000-0000A2020000}"/>
    <cellStyle name="Percentuale 14 2" xfId="594" xr:uid="{00000000-0005-0000-0000-0000A3020000}"/>
    <cellStyle name="Percentuale 15" xfId="595" xr:uid="{00000000-0005-0000-0000-0000A4020000}"/>
    <cellStyle name="Percentuale 15 2" xfId="596" xr:uid="{00000000-0005-0000-0000-0000A5020000}"/>
    <cellStyle name="Percentuale 16" xfId="597" xr:uid="{00000000-0005-0000-0000-0000A6020000}"/>
    <cellStyle name="Percentuale 2" xfId="598" xr:uid="{00000000-0005-0000-0000-0000A7020000}"/>
    <cellStyle name="Percentuale 2 2" xfId="599" xr:uid="{00000000-0005-0000-0000-0000A8020000}"/>
    <cellStyle name="Percentuale 2 2 2" xfId="600" xr:uid="{00000000-0005-0000-0000-0000A9020000}"/>
    <cellStyle name="Percentuale 2 2 3" xfId="601" xr:uid="{00000000-0005-0000-0000-0000AA020000}"/>
    <cellStyle name="Percentuale 2 2 3 2" xfId="782" xr:uid="{00000000-0005-0000-0000-0000AB020000}"/>
    <cellStyle name="Percentuale 2 2 4" xfId="602" xr:uid="{00000000-0005-0000-0000-0000AC020000}"/>
    <cellStyle name="Percentuale 2 2 5" xfId="783" xr:uid="{00000000-0005-0000-0000-0000AD020000}"/>
    <cellStyle name="Percentuale 2 3" xfId="603" xr:uid="{00000000-0005-0000-0000-0000AE020000}"/>
    <cellStyle name="Percentuale 2 3 2" xfId="604" xr:uid="{00000000-0005-0000-0000-0000AF020000}"/>
    <cellStyle name="Percentuale 2 4" xfId="605" xr:uid="{00000000-0005-0000-0000-0000B0020000}"/>
    <cellStyle name="Percentuale 2 4 2" xfId="606" xr:uid="{00000000-0005-0000-0000-0000B1020000}"/>
    <cellStyle name="Percentuale 2 4 2 2" xfId="607" xr:uid="{00000000-0005-0000-0000-0000B2020000}"/>
    <cellStyle name="Percentuale 2 4 3" xfId="608" xr:uid="{00000000-0005-0000-0000-0000B3020000}"/>
    <cellStyle name="Percentuale 2 5" xfId="609" xr:uid="{00000000-0005-0000-0000-0000B4020000}"/>
    <cellStyle name="Percentuale 2 5 2" xfId="610" xr:uid="{00000000-0005-0000-0000-0000B5020000}"/>
    <cellStyle name="Percentuale 2 6" xfId="611" xr:uid="{00000000-0005-0000-0000-0000B6020000}"/>
    <cellStyle name="Percentuale 2 7" xfId="612" xr:uid="{00000000-0005-0000-0000-0000B7020000}"/>
    <cellStyle name="Percentuale 2 7 2" xfId="784" xr:uid="{00000000-0005-0000-0000-0000B8020000}"/>
    <cellStyle name="Percentuale 2 8" xfId="785" xr:uid="{00000000-0005-0000-0000-0000B9020000}"/>
    <cellStyle name="Percentuale 3" xfId="613" xr:uid="{00000000-0005-0000-0000-0000BA020000}"/>
    <cellStyle name="Percentuale 3 2" xfId="614" xr:uid="{00000000-0005-0000-0000-0000BB020000}"/>
    <cellStyle name="Percentuale 3 2 2" xfId="615" xr:uid="{00000000-0005-0000-0000-0000BC020000}"/>
    <cellStyle name="Percentuale 3 3" xfId="616" xr:uid="{00000000-0005-0000-0000-0000BD020000}"/>
    <cellStyle name="Percentuale 3 4" xfId="617" xr:uid="{00000000-0005-0000-0000-0000BE020000}"/>
    <cellStyle name="Percentuale 4" xfId="618" xr:uid="{00000000-0005-0000-0000-0000BF020000}"/>
    <cellStyle name="Percentuale 4 2" xfId="619" xr:uid="{00000000-0005-0000-0000-0000C0020000}"/>
    <cellStyle name="Percentuale 4 3" xfId="620" xr:uid="{00000000-0005-0000-0000-0000C1020000}"/>
    <cellStyle name="Percentuale 4 4" xfId="621" xr:uid="{00000000-0005-0000-0000-0000C2020000}"/>
    <cellStyle name="Percentuale 5" xfId="622" xr:uid="{00000000-0005-0000-0000-0000C3020000}"/>
    <cellStyle name="Percentuale 5 2" xfId="623" xr:uid="{00000000-0005-0000-0000-0000C4020000}"/>
    <cellStyle name="Percentuale 5 2 2" xfId="624" xr:uid="{00000000-0005-0000-0000-0000C5020000}"/>
    <cellStyle name="Percentuale 5 3" xfId="625" xr:uid="{00000000-0005-0000-0000-0000C6020000}"/>
    <cellStyle name="Percentuale 5 4" xfId="626" xr:uid="{00000000-0005-0000-0000-0000C7020000}"/>
    <cellStyle name="Percentuale 6" xfId="627" xr:uid="{00000000-0005-0000-0000-0000C8020000}"/>
    <cellStyle name="Percentuale 6 2" xfId="628" xr:uid="{00000000-0005-0000-0000-0000C9020000}"/>
    <cellStyle name="Percentuale 6 2 2" xfId="629" xr:uid="{00000000-0005-0000-0000-0000CA020000}"/>
    <cellStyle name="Percentuale 6 3" xfId="630" xr:uid="{00000000-0005-0000-0000-0000CB020000}"/>
    <cellStyle name="Percentuale 6 4" xfId="631" xr:uid="{00000000-0005-0000-0000-0000CC020000}"/>
    <cellStyle name="Percentuale 7" xfId="632" xr:uid="{00000000-0005-0000-0000-0000CD020000}"/>
    <cellStyle name="Percentuale 7 2" xfId="633" xr:uid="{00000000-0005-0000-0000-0000CE020000}"/>
    <cellStyle name="Percentuale 7 2 2" xfId="634" xr:uid="{00000000-0005-0000-0000-0000CF020000}"/>
    <cellStyle name="Percentuale 7 3" xfId="635" xr:uid="{00000000-0005-0000-0000-0000D0020000}"/>
    <cellStyle name="Percentuale 8" xfId="636" xr:uid="{00000000-0005-0000-0000-0000D1020000}"/>
    <cellStyle name="Percentuale 9" xfId="637" xr:uid="{00000000-0005-0000-0000-0000D2020000}"/>
    <cellStyle name="Percentuale 9 2" xfId="638" xr:uid="{00000000-0005-0000-0000-0000D3020000}"/>
    <cellStyle name="Percentuale 9 2 2" xfId="639" xr:uid="{00000000-0005-0000-0000-0000D4020000}"/>
    <cellStyle name="Percentuale 9 2 2 2" xfId="640" xr:uid="{00000000-0005-0000-0000-0000D5020000}"/>
    <cellStyle name="Percentuale 9 2 3" xfId="641" xr:uid="{00000000-0005-0000-0000-0000D6020000}"/>
    <cellStyle name="Percentuale 9 3" xfId="642" xr:uid="{00000000-0005-0000-0000-0000D7020000}"/>
    <cellStyle name="Percentuale 9 3 2" xfId="643" xr:uid="{00000000-0005-0000-0000-0000D8020000}"/>
    <cellStyle name="Percentuale 9 4" xfId="644" xr:uid="{00000000-0005-0000-0000-0000D9020000}"/>
    <cellStyle name="Pourcentage [.00]" xfId="645" xr:uid="{00000000-0005-0000-0000-0000DA020000}"/>
    <cellStyle name="Pourcentage 2" xfId="646" xr:uid="{00000000-0005-0000-0000-0000DB020000}"/>
    <cellStyle name="Pourcentage 3" xfId="647" xr:uid="{00000000-0005-0000-0000-0000DC020000}"/>
    <cellStyle name="Puntato" xfId="648" xr:uid="{00000000-0005-0000-0000-0000DD020000}"/>
    <cellStyle name="RevList" xfId="649" xr:uid="{00000000-0005-0000-0000-0000DE020000}"/>
    <cellStyle name="RowLevel_1_BE (2)" xfId="650" xr:uid="{00000000-0005-0000-0000-0000DF020000}"/>
    <cellStyle name="Satisfaisant" xfId="651" xr:uid="{00000000-0005-0000-0000-0000E0020000}"/>
    <cellStyle name="Senza nome1" xfId="652" xr:uid="{00000000-0005-0000-0000-0000E1020000}"/>
    <cellStyle name="Senza nome1 2" xfId="653" xr:uid="{00000000-0005-0000-0000-0000E2020000}"/>
    <cellStyle name="Senza nome2" xfId="654" xr:uid="{00000000-0005-0000-0000-0000E3020000}"/>
    <cellStyle name="Senza nome3" xfId="655" xr:uid="{00000000-0005-0000-0000-0000E4020000}"/>
    <cellStyle name="Senza nome4" xfId="656" xr:uid="{00000000-0005-0000-0000-0000E5020000}"/>
    <cellStyle name="Senza nome4 2" xfId="657" xr:uid="{00000000-0005-0000-0000-0000E6020000}"/>
    <cellStyle name="Senza nome5" xfId="658" xr:uid="{00000000-0005-0000-0000-0000E7020000}"/>
    <cellStyle name="Senza nome5 2" xfId="659" xr:uid="{00000000-0005-0000-0000-0000E8020000}"/>
    <cellStyle name="Senza nome6" xfId="660" xr:uid="{00000000-0005-0000-0000-0000E9020000}"/>
    <cellStyle name="Senza nome6 2" xfId="661" xr:uid="{00000000-0005-0000-0000-0000EA020000}"/>
    <cellStyle name="Senza nome7" xfId="662" xr:uid="{00000000-0005-0000-0000-0000EB020000}"/>
    <cellStyle name="Senza nome7 2" xfId="663" xr:uid="{00000000-0005-0000-0000-0000EC020000}"/>
    <cellStyle name="Senza nome8" xfId="664" xr:uid="{00000000-0005-0000-0000-0000ED020000}"/>
    <cellStyle name="Senza nome8 2" xfId="665" xr:uid="{00000000-0005-0000-0000-0000EE020000}"/>
    <cellStyle name="Senza nome9" xfId="666" xr:uid="{00000000-0005-0000-0000-0000EF020000}"/>
    <cellStyle name="Senza nome9 2" xfId="667" xr:uid="{00000000-0005-0000-0000-0000F0020000}"/>
    <cellStyle name="Slide Title" xfId="668" xr:uid="{00000000-0005-0000-0000-0000F1020000}"/>
    <cellStyle name="Sortie" xfId="669" xr:uid="{00000000-0005-0000-0000-0000F2020000}"/>
    <cellStyle name="Sortie 2" xfId="786" xr:uid="{00000000-0005-0000-0000-0000F3020000}"/>
    <cellStyle name="Source" xfId="670" xr:uid="{00000000-0005-0000-0000-0000F4020000}"/>
    <cellStyle name="Stile 1" xfId="671" xr:uid="{00000000-0005-0000-0000-0000F5020000}"/>
    <cellStyle name="Subtotal" xfId="672" xr:uid="{00000000-0005-0000-0000-0000F6020000}"/>
    <cellStyle name="Testo avviso 2" xfId="673" xr:uid="{00000000-0005-0000-0000-0000F7020000}"/>
    <cellStyle name="Testo avviso 2 2" xfId="674" xr:uid="{00000000-0005-0000-0000-0000F8020000}"/>
    <cellStyle name="Testo avviso 2 3" xfId="675" xr:uid="{00000000-0005-0000-0000-0000F9020000}"/>
    <cellStyle name="Testo descrittivo 2" xfId="676" xr:uid="{00000000-0005-0000-0000-0000FA020000}"/>
    <cellStyle name="Testo descrittivo 2 2" xfId="677" xr:uid="{00000000-0005-0000-0000-0000FB020000}"/>
    <cellStyle name="Testo descrittivo 2 3" xfId="678" xr:uid="{00000000-0005-0000-0000-0000FC020000}"/>
    <cellStyle name="Texte explicatif" xfId="679" xr:uid="{00000000-0005-0000-0000-0000FD020000}"/>
    <cellStyle name="Title" xfId="680" xr:uid="{00000000-0005-0000-0000-0000FE020000}"/>
    <cellStyle name="Titolo 1 2" xfId="681" xr:uid="{00000000-0005-0000-0000-0000FF020000}"/>
    <cellStyle name="Titolo 1 2 2" xfId="682" xr:uid="{00000000-0005-0000-0000-000000030000}"/>
    <cellStyle name="Titolo 1 2 3" xfId="683" xr:uid="{00000000-0005-0000-0000-000001030000}"/>
    <cellStyle name="Titolo 2 2" xfId="684" xr:uid="{00000000-0005-0000-0000-000002030000}"/>
    <cellStyle name="Titolo 2 2 2" xfId="685" xr:uid="{00000000-0005-0000-0000-000003030000}"/>
    <cellStyle name="Titolo 2 2 3" xfId="686" xr:uid="{00000000-0005-0000-0000-000004030000}"/>
    <cellStyle name="Titolo 3" xfId="809" builtinId="18"/>
    <cellStyle name="Titolo 3 2" xfId="687" xr:uid="{00000000-0005-0000-0000-000006030000}"/>
    <cellStyle name="Titolo 3 2 2" xfId="688" xr:uid="{00000000-0005-0000-0000-000007030000}"/>
    <cellStyle name="Titolo 3 2 3" xfId="689" xr:uid="{00000000-0005-0000-0000-000008030000}"/>
    <cellStyle name="Titolo 4 2" xfId="690" xr:uid="{00000000-0005-0000-0000-000009030000}"/>
    <cellStyle name="Titolo 4 2 2" xfId="691" xr:uid="{00000000-0005-0000-0000-00000A030000}"/>
    <cellStyle name="Titolo 4 2 3" xfId="692" xr:uid="{00000000-0005-0000-0000-00000B030000}"/>
    <cellStyle name="Titolo 5" xfId="693" xr:uid="{00000000-0005-0000-0000-00000C030000}"/>
    <cellStyle name="Titre" xfId="694" xr:uid="{00000000-0005-0000-0000-00000D030000}"/>
    <cellStyle name="Titre 1" xfId="695" xr:uid="{00000000-0005-0000-0000-00000E030000}"/>
    <cellStyle name="Titre 2" xfId="696" xr:uid="{00000000-0005-0000-0000-00000F030000}"/>
    <cellStyle name="Titre 3" xfId="697" xr:uid="{00000000-0005-0000-0000-000010030000}"/>
    <cellStyle name="Titre 4" xfId="698" xr:uid="{00000000-0005-0000-0000-000011030000}"/>
    <cellStyle name="TMS" xfId="699" xr:uid="{00000000-0005-0000-0000-000012030000}"/>
    <cellStyle name="Total" xfId="700" xr:uid="{00000000-0005-0000-0000-000013030000}"/>
    <cellStyle name="Total 2" xfId="701" xr:uid="{00000000-0005-0000-0000-000014030000}"/>
    <cellStyle name="Total 2 2" xfId="787" xr:uid="{00000000-0005-0000-0000-000015030000}"/>
    <cellStyle name="Total 3" xfId="702" xr:uid="{00000000-0005-0000-0000-000016030000}"/>
    <cellStyle name="Total 3 2" xfId="788" xr:uid="{00000000-0005-0000-0000-000017030000}"/>
    <cellStyle name="Total 4" xfId="789" xr:uid="{00000000-0005-0000-0000-000018030000}"/>
    <cellStyle name="Totale 2" xfId="703" xr:uid="{00000000-0005-0000-0000-000019030000}"/>
    <cellStyle name="Totale 2 2" xfId="704" xr:uid="{00000000-0005-0000-0000-00001A030000}"/>
    <cellStyle name="Totale 2 3" xfId="705" xr:uid="{00000000-0005-0000-0000-00001B030000}"/>
    <cellStyle name="Totale 2 3 2" xfId="790" xr:uid="{00000000-0005-0000-0000-00001C030000}"/>
    <cellStyle name="Valore non valido 2" xfId="706" xr:uid="{00000000-0005-0000-0000-00001E030000}"/>
    <cellStyle name="Valore non valido 2 2" xfId="707" xr:uid="{00000000-0005-0000-0000-00001F030000}"/>
    <cellStyle name="Valore non valido 2 3" xfId="708" xr:uid="{00000000-0005-0000-0000-000020030000}"/>
    <cellStyle name="Valore valido 2" xfId="709" xr:uid="{00000000-0005-0000-0000-000021030000}"/>
    <cellStyle name="Valore valido 2 2" xfId="710" xr:uid="{00000000-0005-0000-0000-000022030000}"/>
    <cellStyle name="Valore valido 2 3" xfId="711" xr:uid="{00000000-0005-0000-0000-000023030000}"/>
    <cellStyle name="Valuta (0)_ACQUE TOSCANE-PMT DÉTAILLÉ 2000-2004" xfId="712" xr:uid="{00000000-0005-0000-0000-000024030000}"/>
    <cellStyle name="Valuta 2" xfId="713" xr:uid="{00000000-0005-0000-0000-000025030000}"/>
    <cellStyle name="Valuta 2 2" xfId="714" xr:uid="{00000000-0005-0000-0000-000026030000}"/>
    <cellStyle name="Valuta 3" xfId="794" xr:uid="{00000000-0005-0000-0000-000027030000}"/>
    <cellStyle name="Vérification" xfId="715" xr:uid="{00000000-0005-0000-0000-000028030000}"/>
    <cellStyle name="Warning Text" xfId="716" xr:uid="{00000000-0005-0000-0000-000029030000}"/>
    <cellStyle name="표준_invest" xfId="717" xr:uid="{00000000-0005-0000-0000-00002A030000}"/>
  </cellStyles>
  <dxfs count="2">
    <dxf>
      <font>
        <b/>
        <i val="0"/>
        <strike val="0"/>
        <color rgb="FFFF0000"/>
      </font>
      <fill>
        <patternFill>
          <bgColor theme="5" tint="0.79998168889431442"/>
        </patternFill>
      </fill>
      <border>
        <left style="thin">
          <color rgb="FFFF0000"/>
        </left>
        <right style="thin">
          <color rgb="FFFF0000"/>
        </right>
        <top style="thin">
          <color rgb="FFFF0000"/>
        </top>
        <bottom style="thin">
          <color rgb="FFFF0000"/>
        </bottom>
      </border>
    </dxf>
    <dxf>
      <font>
        <color rgb="FFFFFF00"/>
      </font>
      <fill>
        <patternFill>
          <bgColor rgb="FFFF0000"/>
        </patternFill>
      </fill>
    </dxf>
  </dxfs>
  <tableStyles count="0" defaultTableStyle="TableStyleMedium2" defaultPivotStyle="PivotStyleLight16"/>
  <colors>
    <mruColors>
      <color rgb="FFFFDDE1"/>
      <color rgb="FFFFC7CE"/>
      <color rgb="FFCCFFCC"/>
      <color rgb="FFAFFFAF"/>
      <color rgb="FF9C0006"/>
      <color rgb="FF00FFCC"/>
      <color rgb="FFFF9BA7"/>
      <color rgb="FFFFEFF1"/>
      <color rgb="FFFF9FAA"/>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1229100</xdr:colOff>
      <xdr:row>0</xdr:row>
      <xdr:rowOff>34636</xdr:rowOff>
    </xdr:from>
    <xdr:to>
      <xdr:col>16</xdr:col>
      <xdr:colOff>322617</xdr:colOff>
      <xdr:row>4</xdr:row>
      <xdr:rowOff>37283</xdr:rowOff>
    </xdr:to>
    <xdr:pic>
      <xdr:nvPicPr>
        <xdr:cNvPr id="2" name="Immagine 1">
          <a:extLst>
            <a:ext uri="{FF2B5EF4-FFF2-40B4-BE49-F238E27FC236}">
              <a16:creationId xmlns:a16="http://schemas.microsoft.com/office/drawing/2014/main" id="{229D8B7A-F894-4571-BB2D-DBFC35D5AF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60736" y="34636"/>
          <a:ext cx="1639290" cy="885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6800022</xdr:colOff>
      <xdr:row>0</xdr:row>
      <xdr:rowOff>0</xdr:rowOff>
    </xdr:from>
    <xdr:to>
      <xdr:col>1</xdr:col>
      <xdr:colOff>6800022</xdr:colOff>
      <xdr:row>2</xdr:row>
      <xdr:rowOff>4049</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0722" y="0"/>
          <a:ext cx="816467" cy="430769"/>
        </a:xfrm>
        <a:prstGeom prst="rect">
          <a:avLst/>
        </a:prstGeom>
      </xdr:spPr>
    </xdr:pic>
    <xdr:clientData/>
  </xdr:twoCellAnchor>
  <xdr:twoCellAnchor editAs="oneCell">
    <xdr:from>
      <xdr:col>1</xdr:col>
      <xdr:colOff>6800022</xdr:colOff>
      <xdr:row>0</xdr:row>
      <xdr:rowOff>0</xdr:rowOff>
    </xdr:from>
    <xdr:to>
      <xdr:col>1</xdr:col>
      <xdr:colOff>6800022</xdr:colOff>
      <xdr:row>2</xdr:row>
      <xdr:rowOff>4818</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0722" y="0"/>
          <a:ext cx="816467" cy="431538"/>
        </a:xfrm>
        <a:prstGeom prst="rect">
          <a:avLst/>
        </a:prstGeom>
      </xdr:spPr>
    </xdr:pic>
    <xdr:clientData/>
  </xdr:twoCellAnchor>
  <xdr:twoCellAnchor editAs="oneCell">
    <xdr:from>
      <xdr:col>3</xdr:col>
      <xdr:colOff>176893</xdr:colOff>
      <xdr:row>0</xdr:row>
      <xdr:rowOff>176894</xdr:rowOff>
    </xdr:from>
    <xdr:to>
      <xdr:col>3</xdr:col>
      <xdr:colOff>1360715</xdr:colOff>
      <xdr:row>2</xdr:row>
      <xdr:rowOff>472571</xdr:rowOff>
    </xdr:to>
    <xdr:pic>
      <xdr:nvPicPr>
        <xdr:cNvPr id="5" name="Immagine 4">
          <a:extLst>
            <a:ext uri="{FF2B5EF4-FFF2-40B4-BE49-F238E27FC236}">
              <a16:creationId xmlns:a16="http://schemas.microsoft.com/office/drawing/2014/main" id="{A9E6DFE2-68EE-4BF6-A7D3-5317D3820F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00" y="176894"/>
          <a:ext cx="1183822" cy="7447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xdr:colOff>
      <xdr:row>0</xdr:row>
      <xdr:rowOff>0</xdr:rowOff>
    </xdr:from>
    <xdr:to>
      <xdr:col>6</xdr:col>
      <xdr:colOff>1212707</xdr:colOff>
      <xdr:row>2</xdr:row>
      <xdr:rowOff>163988</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5" y="0"/>
          <a:ext cx="1102217" cy="5926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1</xdr:row>
      <xdr:rowOff>130175</xdr:rowOff>
    </xdr:from>
    <xdr:to>
      <xdr:col>1</xdr:col>
      <xdr:colOff>263525</xdr:colOff>
      <xdr:row>1</xdr:row>
      <xdr:rowOff>257175</xdr:rowOff>
    </xdr:to>
    <xdr:sp macro="" textlink="">
      <xdr:nvSpPr>
        <xdr:cNvPr id="2" name="Connettore 1">
          <a:extLst>
            <a:ext uri="{FF2B5EF4-FFF2-40B4-BE49-F238E27FC236}">
              <a16:creationId xmlns:a16="http://schemas.microsoft.com/office/drawing/2014/main" id="{0A77DED2-59B8-42D4-A437-66E5F934511C}"/>
            </a:ext>
          </a:extLst>
        </xdr:cNvPr>
        <xdr:cNvSpPr/>
      </xdr:nvSpPr>
      <xdr:spPr>
        <a:xfrm>
          <a:off x="302895" y="297815"/>
          <a:ext cx="120650" cy="127000"/>
        </a:xfrm>
        <a:prstGeom prst="flowChartConnector">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ova/Downloads/PEF%20Grezzo%20Comu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iova/Downloads/PEF%20Grezzo%20Gesto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efinizioni"/>
      <sheetName val="MTR"/>
      <sheetName val="Previsionali"/>
      <sheetName val="Conto economico"/>
      <sheetName val="SIR in perimetro"/>
      <sheetName val="CK"/>
      <sheetName val="Cespiti (pre 2018)"/>
      <sheetName val="Cespiti (post 2018)"/>
      <sheetName val="LIC e PRdelCCN"/>
      <sheetName val="parametri notevoli"/>
      <sheetName val="AcquistoServizi_CTS_CTR"/>
      <sheetName val="ModPEF21Comune"/>
    </sheetNames>
    <sheetDataSet>
      <sheetData sheetId="0"/>
      <sheetData sheetId="1"/>
      <sheetData sheetId="2"/>
      <sheetData sheetId="3">
        <row r="13">
          <cell r="E13"/>
        </row>
        <row r="14">
          <cell r="E14"/>
        </row>
        <row r="15">
          <cell r="E15"/>
        </row>
        <row r="18">
          <cell r="E18"/>
          <cell r="G18"/>
        </row>
        <row r="19">
          <cell r="E19"/>
          <cell r="G19"/>
        </row>
        <row r="20">
          <cell r="E20"/>
          <cell r="G20"/>
        </row>
        <row r="21">
          <cell r="E21"/>
          <cell r="G21"/>
        </row>
        <row r="24">
          <cell r="G24">
            <v>81</v>
          </cell>
        </row>
      </sheetData>
      <sheetData sheetId="4"/>
      <sheetData sheetId="5"/>
      <sheetData sheetId="6"/>
      <sheetData sheetId="7"/>
      <sheetData sheetId="8"/>
      <sheetData sheetId="9"/>
      <sheetData sheetId="10"/>
      <sheetData sheetId="11"/>
      <sheetData sheetId="12">
        <row r="6">
          <cell r="F6">
            <v>0</v>
          </cell>
        </row>
        <row r="7">
          <cell r="F7">
            <v>0</v>
          </cell>
        </row>
        <row r="8">
          <cell r="F8">
            <v>0</v>
          </cell>
        </row>
        <row r="9">
          <cell r="F9">
            <v>0</v>
          </cell>
        </row>
        <row r="10">
          <cell r="F10">
            <v>0</v>
          </cell>
        </row>
        <row r="11">
          <cell r="F11">
            <v>0</v>
          </cell>
        </row>
        <row r="14">
          <cell r="F14">
            <v>0</v>
          </cell>
        </row>
        <row r="17">
          <cell r="F17">
            <v>0</v>
          </cell>
        </row>
        <row r="21">
          <cell r="F21">
            <v>47886.33649799999</v>
          </cell>
        </row>
        <row r="24">
          <cell r="F24">
            <v>0</v>
          </cell>
        </row>
        <row r="25">
          <cell r="F25">
            <v>0</v>
          </cell>
        </row>
        <row r="26">
          <cell r="F26">
            <v>0</v>
          </cell>
        </row>
        <row r="27">
          <cell r="F27">
            <v>0</v>
          </cell>
        </row>
        <row r="28">
          <cell r="F28">
            <v>0</v>
          </cell>
        </row>
        <row r="30">
          <cell r="F30">
            <v>0</v>
          </cell>
        </row>
        <row r="31">
          <cell r="F31">
            <v>0</v>
          </cell>
        </row>
        <row r="32">
          <cell r="F32">
            <v>0</v>
          </cell>
        </row>
        <row r="33">
          <cell r="F33">
            <v>0</v>
          </cell>
        </row>
        <row r="34">
          <cell r="F34">
            <v>0</v>
          </cell>
        </row>
        <row r="35">
          <cell r="F35">
            <v>0</v>
          </cell>
        </row>
        <row r="36">
          <cell r="F36">
            <v>0</v>
          </cell>
        </row>
        <row r="37">
          <cell r="F37">
            <v>0</v>
          </cell>
        </row>
        <row r="39">
          <cell r="F39">
            <v>0</v>
          </cell>
        </row>
        <row r="40">
          <cell r="F40">
            <v>0</v>
          </cell>
        </row>
        <row r="44">
          <cell r="F44">
            <v>41160.511391999986</v>
          </cell>
        </row>
        <row r="51">
          <cell r="F51">
            <v>0</v>
          </cell>
        </row>
        <row r="52">
          <cell r="F52">
            <v>0</v>
          </cell>
        </row>
        <row r="62">
          <cell r="F62">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efinizioni"/>
      <sheetName val="MTR"/>
      <sheetName val="Previsionali"/>
      <sheetName val="Conto economico"/>
      <sheetName val="SIR in perimetro"/>
      <sheetName val="CK"/>
      <sheetName val="Cespiti (pre 2018)"/>
      <sheetName val="Cespiti (post 2018)"/>
      <sheetName val="LIC e PRdelCCN"/>
      <sheetName val="parametri notevoli"/>
      <sheetName val="AcquistoServizi_CTS_CTR"/>
      <sheetName val="ModPEF21Gestor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
          <cell r="E6">
            <v>106252.46182550998</v>
          </cell>
        </row>
        <row r="7">
          <cell r="E7">
            <v>95692.724126999979</v>
          </cell>
        </row>
        <row r="8">
          <cell r="E8">
            <v>128170.18113899996</v>
          </cell>
        </row>
        <row r="9">
          <cell r="E9">
            <v>231029.96716799994</v>
          </cell>
        </row>
        <row r="10">
          <cell r="E10">
            <v>0</v>
          </cell>
        </row>
        <row r="11">
          <cell r="E11">
            <v>123312.52833899998</v>
          </cell>
        </row>
        <row r="14">
          <cell r="E14">
            <v>0</v>
          </cell>
        </row>
        <row r="17">
          <cell r="E17">
            <v>59122.474158999859</v>
          </cell>
        </row>
        <row r="24">
          <cell r="E24">
            <v>120734.93632199997</v>
          </cell>
        </row>
        <row r="25">
          <cell r="E25">
            <v>0</v>
          </cell>
        </row>
        <row r="26">
          <cell r="E26">
            <v>121708.49090399998</v>
          </cell>
        </row>
        <row r="27">
          <cell r="E27">
            <v>86890.252448999978</v>
          </cell>
        </row>
        <row r="28">
          <cell r="E28">
            <v>0</v>
          </cell>
        </row>
        <row r="30">
          <cell r="E30">
            <v>70181.885727689194</v>
          </cell>
        </row>
        <row r="31">
          <cell r="E31">
            <v>0</v>
          </cell>
        </row>
        <row r="32">
          <cell r="E32">
            <v>0</v>
          </cell>
        </row>
        <row r="33">
          <cell r="E33">
            <v>0</v>
          </cell>
        </row>
        <row r="34">
          <cell r="E34">
            <v>0</v>
          </cell>
        </row>
        <row r="35">
          <cell r="E35">
            <v>0</v>
          </cell>
        </row>
        <row r="36">
          <cell r="E36">
            <v>60791.820585285226</v>
          </cell>
        </row>
        <row r="37">
          <cell r="E37">
            <v>0</v>
          </cell>
        </row>
        <row r="39">
          <cell r="E39">
            <v>0</v>
          </cell>
        </row>
        <row r="40">
          <cell r="E40">
            <v>-108307.9034776045</v>
          </cell>
        </row>
        <row r="51">
          <cell r="E51">
            <v>0</v>
          </cell>
        </row>
        <row r="52">
          <cell r="E52">
            <v>0</v>
          </cell>
        </row>
        <row r="62">
          <cell r="E62">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rera.it/allegati/docs/20/493-20.pdf" TargetMode="External"/><Relationship Id="rId3" Type="http://schemas.openxmlformats.org/officeDocument/2006/relationships/hyperlink" Target="https://www.arera.it/allegati/docs/20/002-20drif.pdf" TargetMode="External"/><Relationship Id="rId7" Type="http://schemas.openxmlformats.org/officeDocument/2006/relationships/hyperlink" Target="https://www.arera.it/allegati/docs/20/238-20.pdf" TargetMode="External"/><Relationship Id="rId2" Type="http://schemas.openxmlformats.org/officeDocument/2006/relationships/hyperlink" Target="https://www.arera.it/allegati/docs/19/MTR_ti.pdf" TargetMode="External"/><Relationship Id="rId1" Type="http://schemas.openxmlformats.org/officeDocument/2006/relationships/hyperlink" Target="https://www.fondazioneifel.it/documenti-e-pubblicazioni/item/download/3680_95cb738a732fe0012e47716ae3b6ae12" TargetMode="External"/><Relationship Id="rId6" Type="http://schemas.openxmlformats.org/officeDocument/2006/relationships/hyperlink" Target="https://www.arera.it/allegati/docs/20/158-20.pdf" TargetMode="External"/><Relationship Id="rId11" Type="http://schemas.openxmlformats.org/officeDocument/2006/relationships/drawing" Target="../drawings/drawing1.xml"/><Relationship Id="rId5" Type="http://schemas.openxmlformats.org/officeDocument/2006/relationships/hyperlink" Target="https://www.arera.it/allegati/docs/20/057-20.pdf" TargetMode="External"/><Relationship Id="rId10" Type="http://schemas.openxmlformats.org/officeDocument/2006/relationships/printerSettings" Target="../printerSettings/printerSettings1.bin"/><Relationship Id="rId4" Type="http://schemas.openxmlformats.org/officeDocument/2006/relationships/hyperlink" Target="https://www.fondazioneifel.it/ifelinforma-news/item/download/3509_2877b8d3e463b73b756ef1ea03d2b52e" TargetMode="External"/><Relationship Id="rId9" Type="http://schemas.openxmlformats.org/officeDocument/2006/relationships/hyperlink" Target="https://www.fondazioneifel.it/documenti-e-pubblicazioni/item/download/4584_91d28fcadb334c18b6a2ecfac38e326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rera.it/allegati/docs/19/MTR_ti.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5683-8C3E-4CEF-ACFC-649DFBED8E6E}">
  <sheetPr codeName="Foglio2">
    <tabColor theme="5" tint="-0.249977111117893"/>
    <pageSetUpPr fitToPage="1"/>
  </sheetPr>
  <dimension ref="A1:AD79"/>
  <sheetViews>
    <sheetView showGridLines="0" tabSelected="1" topLeftCell="D18" zoomScale="110" zoomScaleNormal="110" workbookViewId="0">
      <selection activeCell="E47" sqref="E47"/>
    </sheetView>
  </sheetViews>
  <sheetFormatPr defaultColWidth="0" defaultRowHeight="0" customHeight="1" zeroHeight="1"/>
  <cols>
    <col min="1" max="1" width="5.36328125" style="44" customWidth="1"/>
    <col min="2" max="2" width="2.453125" style="44" customWidth="1"/>
    <col min="3" max="3" width="41.08984375" style="44" customWidth="1"/>
    <col min="4" max="4" width="13.08984375" style="44" customWidth="1"/>
    <col min="5" max="5" width="13.453125" style="44" customWidth="1"/>
    <col min="6" max="6" width="19.453125" style="44" bestFit="1" customWidth="1"/>
    <col min="7" max="7" width="6" style="44" customWidth="1"/>
    <col min="8" max="8" width="1.36328125" style="44" customWidth="1"/>
    <col min="9" max="9" width="54.08984375" style="44" customWidth="1"/>
    <col min="10" max="11" width="18.81640625" style="44" customWidth="1"/>
    <col min="12" max="12" width="4.453125" style="44" customWidth="1"/>
    <col min="13" max="13" width="2.81640625" style="44" customWidth="1"/>
    <col min="14" max="15" width="5.08984375" style="44" customWidth="1"/>
    <col min="16" max="16" width="38.08984375" style="44" bestFit="1" customWidth="1"/>
    <col min="17" max="19" width="5.08984375" style="44" customWidth="1"/>
    <col min="20" max="20" width="4.08984375" style="44" customWidth="1"/>
    <col min="21" max="21" width="15.6328125" hidden="1" customWidth="1"/>
    <col min="22" max="22" width="15.453125" hidden="1" customWidth="1"/>
    <col min="23" max="23" width="28.08984375" hidden="1" customWidth="1"/>
    <col min="24" max="30" width="0" style="44" hidden="1" customWidth="1"/>
    <col min="31" max="16384" width="9.08984375" style="44" hidden="1"/>
  </cols>
  <sheetData>
    <row r="1" spans="2:23" ht="14.5">
      <c r="K1" s="10"/>
    </row>
    <row r="2" spans="2:23" ht="14.5"/>
    <row r="3" spans="2:23" ht="20">
      <c r="B3" s="9" t="s">
        <v>49</v>
      </c>
      <c r="H3" s="9"/>
      <c r="I3" s="9" t="s">
        <v>50</v>
      </c>
    </row>
    <row r="4" spans="2:23" ht="14.5">
      <c r="C4" s="45" t="s">
        <v>56</v>
      </c>
      <c r="D4" s="46"/>
    </row>
    <row r="5" spans="2:23" ht="14.5"/>
    <row r="6" spans="2:23" ht="15" thickBot="1">
      <c r="B6" s="47" t="s">
        <v>54</v>
      </c>
      <c r="C6" s="47"/>
      <c r="D6" s="47"/>
      <c r="E6" s="47"/>
      <c r="F6" s="47"/>
      <c r="H6" s="424" t="s">
        <v>61</v>
      </c>
      <c r="I6" s="424"/>
      <c r="J6" s="424"/>
      <c r="K6" s="424"/>
      <c r="L6" s="424"/>
      <c r="M6" s="424"/>
    </row>
    <row r="7" spans="2:23" ht="15" thickTop="1">
      <c r="B7" s="48"/>
      <c r="C7" s="49"/>
      <c r="D7" s="49"/>
      <c r="E7" s="50"/>
      <c r="F7" s="51"/>
      <c r="H7" s="48"/>
      <c r="I7" s="50"/>
      <c r="J7" s="49"/>
      <c r="K7" s="49"/>
      <c r="L7" s="50"/>
      <c r="M7" s="51"/>
    </row>
    <row r="8" spans="2:23" s="53" customFormat="1" ht="21" customHeight="1">
      <c r="B8" s="52"/>
      <c r="E8" s="54" t="s">
        <v>57</v>
      </c>
      <c r="F8" s="55" t="s">
        <v>55</v>
      </c>
      <c r="H8" s="52"/>
      <c r="J8" s="56" t="s">
        <v>118</v>
      </c>
      <c r="K8" s="56" t="s">
        <v>119</v>
      </c>
      <c r="M8" s="57"/>
      <c r="U8" s="58"/>
      <c r="V8" s="58"/>
      <c r="W8" s="58"/>
    </row>
    <row r="9" spans="2:23" ht="18">
      <c r="B9" s="59"/>
      <c r="D9" s="60" t="s">
        <v>4</v>
      </c>
      <c r="E9" s="17">
        <v>0.6</v>
      </c>
      <c r="F9" s="61" t="s">
        <v>13</v>
      </c>
      <c r="H9" s="59"/>
      <c r="I9" s="62" t="s">
        <v>117</v>
      </c>
      <c r="J9" s="425">
        <f>+J11+K11</f>
        <v>1024924.3364747819</v>
      </c>
      <c r="K9" s="425"/>
      <c r="L9"/>
      <c r="M9" s="63"/>
      <c r="P9" s="98" t="s">
        <v>44</v>
      </c>
    </row>
    <row r="10" spans="2:23" ht="14.5">
      <c r="B10" s="59"/>
      <c r="D10" s="64" t="s">
        <v>5</v>
      </c>
      <c r="E10" s="17">
        <v>0.1</v>
      </c>
      <c r="F10" s="61" t="s">
        <v>14</v>
      </c>
      <c r="H10" s="59"/>
      <c r="L10"/>
      <c r="M10" s="63"/>
      <c r="P10" s="99" t="s">
        <v>45</v>
      </c>
    </row>
    <row r="11" spans="2:23" ht="14.5">
      <c r="B11" s="59"/>
      <c r="D11" s="65" t="s">
        <v>6</v>
      </c>
      <c r="E11" s="66">
        <f>+E12+E13+E14</f>
        <v>-0.5</v>
      </c>
      <c r="F11" s="61"/>
      <c r="H11" s="59"/>
      <c r="I11" s="62" t="s">
        <v>106</v>
      </c>
      <c r="J11" s="67">
        <f>IFERROR(ModPEF21!G61,0)</f>
        <v>561626.05750027637</v>
      </c>
      <c r="K11" s="67">
        <f>IFERROR(ModPEF21!G69,0)</f>
        <v>463298.27897450543</v>
      </c>
      <c r="L11"/>
      <c r="M11" s="63"/>
      <c r="P11" s="100" t="s">
        <v>46</v>
      </c>
    </row>
    <row r="12" spans="2:23" ht="14.5">
      <c r="B12" s="59"/>
      <c r="C12" s="68" t="s">
        <v>51</v>
      </c>
      <c r="D12" s="64" t="s">
        <v>75</v>
      </c>
      <c r="E12" s="18">
        <v>-0.25</v>
      </c>
      <c r="F12" s="61" t="str">
        <f>+IF(ISERROR(VLOOKUP(D12,gamma!$A$2:$E$4,MATCH(gamma!$C$7,gamma!$A$1:$E$1,0),0)),"Da valutare",VLOOKUP(D12,gamma!$A$2:$E$4,MATCH(gamma!$C$7,gamma!$A$1:$E$1,0),0))</f>
        <v>[-0.45 ;-0.25]</v>
      </c>
      <c r="H12" s="59"/>
      <c r="I12" s="140" t="s">
        <v>127</v>
      </c>
      <c r="J12" s="43"/>
      <c r="K12" s="43"/>
      <c r="L12"/>
      <c r="M12" s="63"/>
      <c r="P12" s="101" t="s">
        <v>47</v>
      </c>
    </row>
    <row r="13" spans="2:23" ht="14.5">
      <c r="B13" s="59"/>
      <c r="C13" s="68" t="s">
        <v>52</v>
      </c>
      <c r="D13" s="64" t="s">
        <v>76</v>
      </c>
      <c r="E13" s="18">
        <v>-0.2</v>
      </c>
      <c r="F13" s="61" t="str">
        <f>+IF(ISERROR(VLOOKUP(D13,gamma!$A$2:$E$4,MATCH(gamma!$C$7,gamma!$A$1:$E$1,0),0)),"Da valutare",VLOOKUP(D13,gamma!$A$2:$E$4,MATCH(gamma!$C$7,gamma!$A$1:$E$1,0),0))</f>
        <v>[-0.3 ;-0.2]</v>
      </c>
      <c r="H13" s="59"/>
      <c r="I13" s="62" t="s">
        <v>106</v>
      </c>
      <c r="J13" s="67">
        <f>+J11-J12</f>
        <v>561626.05750027637</v>
      </c>
      <c r="K13" s="67">
        <f>+K11-K12</f>
        <v>463298.27897450543</v>
      </c>
      <c r="L13"/>
      <c r="M13" s="63"/>
      <c r="P13" s="105" t="s">
        <v>48</v>
      </c>
    </row>
    <row r="14" spans="2:23" ht="14.5">
      <c r="B14" s="59"/>
      <c r="C14" s="68" t="s">
        <v>53</v>
      </c>
      <c r="D14" s="64" t="s">
        <v>77</v>
      </c>
      <c r="E14" s="18">
        <v>-0.05</v>
      </c>
      <c r="F14" s="61" t="str">
        <f>+IF(ISERROR(VLOOKUP(D14,gamma!$A$2:$E$4,MATCH(gamma!$C$7,gamma!$A$1:$E$1,0),0)),"Da valutare",VLOOKUP(D14,gamma!$A$2:$E$4,MATCH(gamma!$C$7,gamma!$A$1:$E$1,0),0))</f>
        <v>[-0.15 ;-0.05]</v>
      </c>
      <c r="H14" s="59"/>
      <c r="L14" s="62"/>
      <c r="M14" s="63"/>
    </row>
    <row r="15" spans="2:23" ht="14.5">
      <c r="B15" s="59"/>
      <c r="D15" s="60" t="s">
        <v>8</v>
      </c>
      <c r="E15" s="19">
        <v>1</v>
      </c>
      <c r="F15" s="61" t="s">
        <v>15</v>
      </c>
      <c r="H15" s="59"/>
      <c r="I15" s="62" t="s">
        <v>120</v>
      </c>
      <c r="J15" s="426">
        <f>+J13+K13</f>
        <v>1024924.3364747819</v>
      </c>
      <c r="K15" s="427"/>
      <c r="M15" s="69"/>
    </row>
    <row r="16" spans="2:23" ht="15" thickBot="1">
      <c r="B16" s="59"/>
      <c r="F16" s="69"/>
      <c r="H16" s="70"/>
      <c r="I16" s="71"/>
      <c r="J16" s="71"/>
      <c r="K16" s="71"/>
      <c r="L16" s="71"/>
      <c r="M16" s="72"/>
    </row>
    <row r="17" spans="1:13" ht="15.5" thickTop="1" thickBot="1">
      <c r="B17" s="59"/>
      <c r="D17" s="73" t="s">
        <v>316</v>
      </c>
      <c r="E17" s="73" t="s">
        <v>315</v>
      </c>
      <c r="F17" s="69"/>
      <c r="H17" s="74" t="s">
        <v>104</v>
      </c>
      <c r="I17" s="74"/>
      <c r="J17" s="74"/>
      <c r="K17" s="74"/>
      <c r="L17" s="74"/>
      <c r="M17" s="74"/>
    </row>
    <row r="18" spans="1:13" ht="15" thickTop="1">
      <c r="B18" s="59"/>
      <c r="C18" s="75" t="s">
        <v>108</v>
      </c>
      <c r="D18" s="76">
        <f>IFERROR(Previsionali!E27,"")</f>
        <v>218.09</v>
      </c>
      <c r="E18" s="76">
        <f>IFERROR(Previsionali!G27,"")</f>
        <v>218</v>
      </c>
      <c r="F18" s="69"/>
      <c r="H18" s="77"/>
      <c r="I18" s="78"/>
      <c r="J18" s="78"/>
      <c r="K18" s="78"/>
      <c r="L18" s="78"/>
      <c r="M18" s="51"/>
    </row>
    <row r="19" spans="1:13" ht="14.5">
      <c r="B19" s="59"/>
      <c r="C19" s="75" t="s">
        <v>59</v>
      </c>
      <c r="D19" s="76">
        <f>+IF(Previsionali!E23&gt;0,Previsionali!E10/Previsionali!E23,0)</f>
        <v>198.95169578622816</v>
      </c>
      <c r="E19" s="76">
        <f>IF(Previsionali!G23&gt;0,J15/Previsionali!G23,0)</f>
        <v>207.89540293606123</v>
      </c>
      <c r="F19" s="69"/>
      <c r="H19" s="59"/>
      <c r="J19" s="79" t="s">
        <v>118</v>
      </c>
      <c r="K19" s="79" t="s">
        <v>119</v>
      </c>
      <c r="M19" s="69"/>
    </row>
    <row r="20" spans="1:13" ht="15" thickBot="1">
      <c r="B20" s="70"/>
      <c r="C20" s="71"/>
      <c r="D20" s="71"/>
      <c r="E20" s="71"/>
      <c r="F20" s="72"/>
      <c r="H20" s="59"/>
      <c r="I20" s="62" t="s">
        <v>105</v>
      </c>
      <c r="J20" s="428">
        <f>+MIN(E34,J15)</f>
        <v>983377.25600000005</v>
      </c>
      <c r="K20" s="429"/>
      <c r="L20"/>
      <c r="M20" s="69"/>
    </row>
    <row r="21" spans="1:13" ht="15.5" thickTop="1" thickBot="1">
      <c r="B21" s="47" t="s">
        <v>36</v>
      </c>
      <c r="C21" s="47"/>
      <c r="D21" s="47"/>
      <c r="E21" s="47"/>
      <c r="F21" s="47"/>
      <c r="H21" s="59"/>
      <c r="I21" s="140" t="s">
        <v>121</v>
      </c>
      <c r="J21" s="43">
        <v>0</v>
      </c>
      <c r="K21" s="43">
        <v>0</v>
      </c>
      <c r="M21" s="69"/>
    </row>
    <row r="22" spans="1:13" ht="15" thickTop="1">
      <c r="B22" s="48"/>
      <c r="C22" s="50"/>
      <c r="D22" s="50"/>
      <c r="E22" s="50"/>
      <c r="F22" s="51"/>
      <c r="H22" s="59"/>
      <c r="I22" s="62" t="s">
        <v>122</v>
      </c>
      <c r="J22" s="67">
        <f>IFERROR(IF($J$20*J13/J15+J21&gt;1.2*Previsionali!$F$12,1.2*Previsionali!$F$12,IF($J$20*J13/J15+J21&lt;0.8*Previsionali!$F$12,0.8*Previsionali!$F$12,$J$20*J13/J15+J21)),0)</f>
        <v>452977.2</v>
      </c>
      <c r="K22" s="67">
        <f>+IFERROR($J$20+J21+K21-J22,"")</f>
        <v>530400.0560000001</v>
      </c>
      <c r="M22" s="69"/>
    </row>
    <row r="23" spans="1:13" ht="16.25" customHeight="1">
      <c r="B23" s="59"/>
      <c r="C23" s="430" t="str">
        <f>+IF(E28&gt;6.6%,"ATTENZIONE: Per l’anno 2020 il valore dell'incremento tariffario non può assumere un valore superiore al 6,6%, fatta salva la facoltà prevista dal comma 4.5 del MTR","")</f>
        <v/>
      </c>
      <c r="D23" s="80" t="s">
        <v>21</v>
      </c>
      <c r="E23" s="81">
        <v>1.7000000000000001E-2</v>
      </c>
      <c r="F23" s="69"/>
      <c r="H23" s="59"/>
      <c r="L23"/>
      <c r="M23" s="82"/>
    </row>
    <row r="24" spans="1:13" ht="16.25" customHeight="1">
      <c r="B24" s="59"/>
      <c r="C24" s="430"/>
      <c r="D24" s="83" t="s">
        <v>7</v>
      </c>
      <c r="E24" s="16">
        <v>1E-3</v>
      </c>
      <c r="F24" s="61" t="s">
        <v>109</v>
      </c>
      <c r="H24" s="59"/>
      <c r="I24"/>
      <c r="J24"/>
      <c r="K24"/>
      <c r="L24"/>
      <c r="M24" s="82"/>
    </row>
    <row r="25" spans="1:13" ht="16.25" customHeight="1">
      <c r="B25" s="59"/>
      <c r="C25" s="430"/>
      <c r="D25" s="83" t="s">
        <v>12</v>
      </c>
      <c r="E25" s="16">
        <v>0</v>
      </c>
      <c r="F25" s="61" t="s">
        <v>22</v>
      </c>
      <c r="H25" s="84"/>
      <c r="K25"/>
      <c r="L25"/>
      <c r="M25" s="82"/>
    </row>
    <row r="26" spans="1:13" ht="16.25" customHeight="1">
      <c r="B26" s="59"/>
      <c r="C26" s="430"/>
      <c r="D26" s="83" t="s">
        <v>20</v>
      </c>
      <c r="E26" s="16">
        <v>0</v>
      </c>
      <c r="F26" s="61" t="s">
        <v>23</v>
      </c>
      <c r="H26" s="84"/>
      <c r="I26" s="140" t="s">
        <v>128</v>
      </c>
      <c r="J26" s="43"/>
      <c r="K26" s="43"/>
      <c r="L26"/>
      <c r="M26" s="82"/>
    </row>
    <row r="27" spans="1:13" ht="14.5">
      <c r="B27" s="59"/>
      <c r="D27" s="83" t="s">
        <v>114</v>
      </c>
      <c r="E27" s="16">
        <v>0</v>
      </c>
      <c r="F27" s="61" t="s">
        <v>23</v>
      </c>
      <c r="G27" s="62"/>
      <c r="H27" s="59"/>
      <c r="I27" s="62" t="s">
        <v>107</v>
      </c>
      <c r="J27" s="43"/>
      <c r="K27" s="43"/>
      <c r="L27"/>
      <c r="M27" s="63"/>
    </row>
    <row r="28" spans="1:13" ht="14.5">
      <c r="B28" s="59"/>
      <c r="C28" s="68" t="s">
        <v>19</v>
      </c>
      <c r="D28" s="85" t="s">
        <v>8</v>
      </c>
      <c r="E28" s="86">
        <f>+E23-E24+E25+E26+E27</f>
        <v>1.6E-2</v>
      </c>
      <c r="F28" s="69"/>
      <c r="G28" s="62"/>
      <c r="H28" s="59"/>
      <c r="I28"/>
      <c r="J28"/>
      <c r="K28"/>
      <c r="L28"/>
      <c r="M28" s="82"/>
    </row>
    <row r="29" spans="1:13" ht="15" thickBot="1">
      <c r="B29" s="70"/>
      <c r="C29" s="71"/>
      <c r="D29" s="87"/>
      <c r="E29" s="88"/>
      <c r="F29" s="72"/>
      <c r="H29" s="59"/>
      <c r="I29" s="62" t="s">
        <v>317</v>
      </c>
      <c r="J29" s="67">
        <f>IFERROR(J22-J26+J27,0)</f>
        <v>452977.2</v>
      </c>
      <c r="K29" s="67">
        <f>IFERROR(K22-K26+K27,0)</f>
        <v>530400.0560000001</v>
      </c>
      <c r="L29"/>
      <c r="M29" s="82"/>
    </row>
    <row r="30" spans="1:13" customFormat="1" ht="15.5" thickTop="1" thickBot="1">
      <c r="A30" s="44"/>
      <c r="B30" s="89" t="s">
        <v>62</v>
      </c>
      <c r="C30" s="89"/>
      <c r="D30" s="89"/>
      <c r="E30" s="89"/>
      <c r="F30" s="90"/>
      <c r="H30" s="59"/>
      <c r="I30" s="62" t="s">
        <v>310</v>
      </c>
      <c r="J30" s="67">
        <f>+J29-J27</f>
        <v>452977.2</v>
      </c>
      <c r="K30" s="67">
        <f>+K29-K27</f>
        <v>530400.0560000001</v>
      </c>
      <c r="M30" s="82"/>
    </row>
    <row r="31" spans="1:13" customFormat="1" ht="15.5" thickTop="1" thickBot="1">
      <c r="A31" s="44"/>
      <c r="B31" s="77"/>
      <c r="C31" s="94"/>
      <c r="D31" s="94"/>
      <c r="E31" s="94"/>
      <c r="F31" s="95"/>
      <c r="H31" s="70"/>
      <c r="I31" s="91"/>
      <c r="J31" s="92"/>
      <c r="K31" s="71"/>
      <c r="L31" s="92"/>
      <c r="M31" s="93"/>
    </row>
    <row r="32" spans="1:13" customFormat="1" ht="15.5" thickTop="1" thickBot="1">
      <c r="A32" s="44"/>
      <c r="B32" s="59"/>
      <c r="C32" s="96" t="s">
        <v>18</v>
      </c>
      <c r="D32" s="62"/>
      <c r="E32" s="97">
        <f>+IF(Previsionali!$F$10&gt;0,J15/Previsionali!$F$10,0)</f>
        <v>1.058925371219261</v>
      </c>
      <c r="F32" s="63"/>
      <c r="H32" s="74" t="s">
        <v>323</v>
      </c>
      <c r="I32" s="74"/>
      <c r="J32" s="74"/>
      <c r="K32" s="74"/>
      <c r="L32" s="74"/>
      <c r="M32" s="74"/>
    </row>
    <row r="33" spans="1:23" customFormat="1" ht="15" thickTop="1">
      <c r="A33" s="44"/>
      <c r="B33" s="59"/>
      <c r="C33" s="62"/>
      <c r="D33" s="62"/>
      <c r="E33" s="62"/>
      <c r="F33" s="63"/>
      <c r="H33" s="48"/>
      <c r="I33" s="50"/>
      <c r="J33" s="50"/>
      <c r="K33" s="50"/>
      <c r="L33" s="50"/>
      <c r="M33" s="51"/>
    </row>
    <row r="34" spans="1:23" customFormat="1" ht="17">
      <c r="A34" s="44"/>
      <c r="B34" s="59"/>
      <c r="C34" s="96" t="s">
        <v>58</v>
      </c>
      <c r="D34" s="62"/>
      <c r="E34" s="67">
        <f>+Previsionali!$F$10*(1+E28)</f>
        <v>983377.25600000005</v>
      </c>
      <c r="F34" s="63"/>
      <c r="H34" s="59"/>
      <c r="I34" s="62" t="s">
        <v>334</v>
      </c>
      <c r="J34" s="403"/>
      <c r="L34" s="44"/>
      <c r="M34" s="69"/>
    </row>
    <row r="35" spans="1:23" customFormat="1" ht="14.5">
      <c r="A35" s="10"/>
      <c r="B35" s="59"/>
      <c r="C35" s="96" t="s">
        <v>60</v>
      </c>
      <c r="D35" s="62"/>
      <c r="E35" s="67">
        <f>+J15-E34</f>
        <v>41547.080474781804</v>
      </c>
      <c r="F35" s="63"/>
      <c r="H35" s="59"/>
      <c r="I35" s="44"/>
      <c r="J35" s="405" t="s">
        <v>309</v>
      </c>
      <c r="K35" s="406" t="s">
        <v>308</v>
      </c>
      <c r="L35" s="44"/>
      <c r="M35" s="69"/>
    </row>
    <row r="36" spans="1:23" customFormat="1" ht="18" thickBot="1">
      <c r="A36" s="44"/>
      <c r="B36" s="102"/>
      <c r="C36" s="103"/>
      <c r="D36" s="103"/>
      <c r="E36" s="103"/>
      <c r="F36" s="104"/>
      <c r="H36" s="59"/>
      <c r="I36" s="62" t="s">
        <v>229</v>
      </c>
      <c r="J36" s="403">
        <v>223257</v>
      </c>
      <c r="K36" s="403"/>
      <c r="L36" s="44"/>
      <c r="M36" s="69"/>
    </row>
    <row r="37" spans="1:23" ht="18.5" thickTop="1" thickBot="1">
      <c r="B37" s="89" t="s">
        <v>311</v>
      </c>
      <c r="C37" s="89"/>
      <c r="D37" s="89"/>
      <c r="E37" s="89"/>
      <c r="F37" s="90"/>
      <c r="G37"/>
      <c r="H37" s="59"/>
      <c r="I37" s="62" t="s">
        <v>324</v>
      </c>
      <c r="J37" s="403">
        <v>117811</v>
      </c>
      <c r="K37" s="403"/>
      <c r="M37" s="69"/>
    </row>
    <row r="38" spans="1:23" ht="16" thickTop="1">
      <c r="B38" s="77"/>
      <c r="C38" s="94"/>
      <c r="D38" s="94"/>
      <c r="E38" s="94"/>
      <c r="F38" s="95"/>
      <c r="H38" s="59"/>
      <c r="I38" s="62" t="s">
        <v>231</v>
      </c>
      <c r="J38" s="404"/>
      <c r="K38" s="404"/>
      <c r="M38" s="69"/>
      <c r="U38" s="44"/>
      <c r="V38" s="44"/>
      <c r="W38" s="44"/>
    </row>
    <row r="39" spans="1:23" ht="17">
      <c r="B39" s="59"/>
      <c r="C39" s="150" t="s">
        <v>312</v>
      </c>
      <c r="E39" s="43">
        <v>1</v>
      </c>
      <c r="F39" s="63"/>
      <c r="G39"/>
      <c r="H39" s="59"/>
      <c r="I39" s="62" t="s">
        <v>232</v>
      </c>
      <c r="J39" s="43"/>
      <c r="K39" s="43"/>
      <c r="M39" s="69"/>
      <c r="U39" s="44"/>
      <c r="V39" s="44"/>
      <c r="W39" s="44"/>
    </row>
    <row r="40" spans="1:23" ht="14.5">
      <c r="B40" s="59"/>
      <c r="D40" s="150"/>
      <c r="E40"/>
      <c r="F40" s="63"/>
      <c r="G40"/>
      <c r="H40" s="59"/>
      <c r="M40" s="69"/>
      <c r="U40" s="44"/>
      <c r="V40" s="44"/>
      <c r="W40" s="44"/>
    </row>
    <row r="41" spans="1:23" ht="16" thickBot="1">
      <c r="B41" s="59"/>
      <c r="C41" s="407" t="s">
        <v>313</v>
      </c>
      <c r="D41" s="408"/>
      <c r="E41" s="408"/>
      <c r="F41" s="63"/>
      <c r="G41"/>
      <c r="H41" s="70"/>
      <c r="I41" s="71"/>
      <c r="J41" s="71"/>
      <c r="K41" s="71"/>
      <c r="L41" s="71"/>
      <c r="M41" s="72"/>
      <c r="U41" s="44"/>
      <c r="V41" s="44"/>
      <c r="W41" s="44"/>
    </row>
    <row r="42" spans="1:23" ht="15" thickTop="1">
      <c r="B42" s="59"/>
      <c r="C42" s="149"/>
      <c r="D42" s="62"/>
      <c r="E42" s="62"/>
      <c r="F42" s="63"/>
      <c r="G42"/>
      <c r="U42" s="44"/>
      <c r="V42" s="44"/>
      <c r="W42" s="44"/>
    </row>
    <row r="43" spans="1:23" ht="17">
      <c r="B43" s="59"/>
      <c r="C43" s="150" t="s">
        <v>326</v>
      </c>
      <c r="E43" s="43">
        <v>-8938</v>
      </c>
      <c r="F43" s="63"/>
      <c r="G43"/>
      <c r="U43" s="44"/>
      <c r="V43" s="44"/>
      <c r="W43" s="44"/>
    </row>
    <row r="44" spans="1:23" ht="17">
      <c r="B44" s="59"/>
      <c r="C44" s="150" t="s">
        <v>327</v>
      </c>
      <c r="E44" s="43">
        <v>47953</v>
      </c>
      <c r="F44" s="63"/>
      <c r="G44"/>
      <c r="U44" s="44"/>
      <c r="V44" s="44"/>
      <c r="W44" s="44"/>
    </row>
    <row r="45" spans="1:23" ht="14.5">
      <c r="B45" s="59"/>
      <c r="C45" s="62"/>
      <c r="E45" s="62"/>
      <c r="F45" s="63"/>
      <c r="G45"/>
      <c r="U45" s="44"/>
      <c r="V45" s="44"/>
      <c r="W45" s="44"/>
    </row>
    <row r="46" spans="1:23" ht="14.5">
      <c r="B46" s="59"/>
      <c r="C46" s="150" t="s">
        <v>314</v>
      </c>
      <c r="E46" s="43">
        <v>3</v>
      </c>
      <c r="F46" s="63"/>
      <c r="G46"/>
      <c r="U46" s="44"/>
      <c r="V46" s="44"/>
      <c r="W46" s="44"/>
    </row>
    <row r="47" spans="1:23" ht="15" thickBot="1">
      <c r="B47" s="102"/>
      <c r="C47" s="103"/>
      <c r="D47" s="103"/>
      <c r="E47" s="103"/>
      <c r="F47" s="104"/>
      <c r="G47"/>
      <c r="U47" s="44"/>
      <c r="V47" s="44"/>
      <c r="W47" s="44"/>
    </row>
    <row r="48" spans="1:23" ht="15" thickTop="1">
      <c r="G48"/>
      <c r="U48" s="44"/>
      <c r="V48" s="44"/>
      <c r="W48" s="44"/>
    </row>
    <row r="49" spans="2:9" s="44" customFormat="1" ht="18">
      <c r="B49" s="268" t="s">
        <v>68</v>
      </c>
      <c r="E49"/>
      <c r="F49"/>
      <c r="G49"/>
    </row>
    <row r="50" spans="2:9" s="269" customFormat="1" ht="33" customHeight="1">
      <c r="B50" s="423" t="s">
        <v>319</v>
      </c>
      <c r="C50" s="423"/>
      <c r="D50" s="423"/>
      <c r="E50" s="423"/>
      <c r="F50" s="423"/>
      <c r="G50" s="423"/>
      <c r="H50" s="423"/>
      <c r="I50" s="423"/>
    </row>
    <row r="51" spans="2:9" s="44" customFormat="1" ht="14.5">
      <c r="B51" s="270" t="s">
        <v>320</v>
      </c>
      <c r="E51"/>
      <c r="F51"/>
      <c r="G51"/>
    </row>
    <row r="52" spans="2:9" s="44" customFormat="1" ht="14.5">
      <c r="B52" s="269" t="s">
        <v>335</v>
      </c>
      <c r="E52"/>
      <c r="F52"/>
      <c r="G52"/>
    </row>
    <row r="53" spans="2:9" s="421" customFormat="1" ht="14.5">
      <c r="B53" s="270" t="s">
        <v>336</v>
      </c>
      <c r="E53" s="422"/>
      <c r="F53" s="422"/>
      <c r="G53" s="422"/>
    </row>
    <row r="54" spans="2:9" s="44" customFormat="1" ht="14.5">
      <c r="B54" s="269" t="s">
        <v>69</v>
      </c>
      <c r="E54"/>
      <c r="F54"/>
      <c r="G54"/>
    </row>
    <row r="55" spans="2:9" s="44" customFormat="1" ht="14.5">
      <c r="B55" s="270" t="s">
        <v>70</v>
      </c>
      <c r="E55"/>
      <c r="F55"/>
      <c r="G55"/>
    </row>
    <row r="56" spans="2:9" s="44" customFormat="1" ht="14.5">
      <c r="B56" s="269" t="s">
        <v>71</v>
      </c>
      <c r="E56"/>
      <c r="F56"/>
      <c r="G56"/>
    </row>
    <row r="57" spans="2:9" s="44" customFormat="1" ht="14.5">
      <c r="B57" s="270" t="s">
        <v>72</v>
      </c>
      <c r="E57"/>
      <c r="F57"/>
      <c r="G57"/>
    </row>
    <row r="58" spans="2:9" s="44" customFormat="1" ht="14.5">
      <c r="B58" s="269" t="s">
        <v>79</v>
      </c>
      <c r="E58"/>
      <c r="F58"/>
      <c r="G58"/>
    </row>
    <row r="59" spans="2:9" s="44" customFormat="1" ht="14.5">
      <c r="B59" s="270" t="s">
        <v>78</v>
      </c>
      <c r="E59"/>
      <c r="F59"/>
      <c r="G59"/>
    </row>
    <row r="60" spans="2:9" s="44" customFormat="1" ht="14.5">
      <c r="B60" s="269" t="s">
        <v>125</v>
      </c>
      <c r="E60"/>
      <c r="F60"/>
      <c r="G60"/>
    </row>
    <row r="61" spans="2:9" s="44" customFormat="1" ht="14.5">
      <c r="B61" s="270" t="s">
        <v>123</v>
      </c>
      <c r="E61"/>
      <c r="F61"/>
      <c r="G61"/>
    </row>
    <row r="62" spans="2:9" s="269" customFormat="1" ht="33" customHeight="1">
      <c r="B62" s="423" t="s">
        <v>126</v>
      </c>
      <c r="C62" s="423"/>
      <c r="D62" s="423"/>
      <c r="E62" s="423"/>
      <c r="F62" s="423"/>
      <c r="G62" s="423"/>
      <c r="H62" s="423"/>
      <c r="I62" s="423"/>
    </row>
    <row r="63" spans="2:9" s="44" customFormat="1" ht="14.5">
      <c r="B63" s="270" t="s">
        <v>124</v>
      </c>
      <c r="E63"/>
      <c r="F63"/>
      <c r="G63"/>
    </row>
    <row r="64" spans="2:9" s="44" customFormat="1" ht="14.5">
      <c r="B64" s="269" t="s">
        <v>321</v>
      </c>
      <c r="E64"/>
      <c r="F64"/>
      <c r="G64"/>
    </row>
    <row r="65" spans="2:7" s="44" customFormat="1" ht="14.5">
      <c r="B65" s="270" t="s">
        <v>322</v>
      </c>
      <c r="E65"/>
      <c r="F65"/>
      <c r="G65"/>
    </row>
    <row r="66" spans="2:7" s="44" customFormat="1" ht="14.5">
      <c r="B66" s="269" t="s">
        <v>73</v>
      </c>
      <c r="E66"/>
      <c r="F66"/>
      <c r="G66"/>
    </row>
    <row r="67" spans="2:7" s="44" customFormat="1" ht="14.5">
      <c r="B67" s="270" t="s">
        <v>74</v>
      </c>
      <c r="E67"/>
      <c r="F67"/>
      <c r="G67"/>
    </row>
    <row r="68" spans="2:7" ht="14.5"/>
    <row r="69" spans="2:7" ht="14.5"/>
    <row r="70" spans="2:7" ht="14.5"/>
    <row r="71" spans="2:7" ht="14.5" hidden="1" customHeight="1"/>
    <row r="72" spans="2:7" ht="14.5"/>
    <row r="73" spans="2:7" ht="14.5" hidden="1" customHeight="1"/>
    <row r="74" spans="2:7" ht="14.5" hidden="1" customHeight="1"/>
    <row r="75" spans="2:7" ht="14.5" hidden="1" customHeight="1"/>
    <row r="76" spans="2:7" ht="14.5" hidden="1" customHeight="1"/>
    <row r="77" spans="2:7" ht="14.5" hidden="1" customHeight="1"/>
    <row r="79" spans="2:7" ht="14.5" hidden="1" customHeight="1"/>
  </sheetData>
  <sheetProtection algorithmName="SHA-512" hashValue="sIufARULs/nFiB94YIh6Hic/XNh5aT5lzL6RgJkd7ZabpdNB4bTF4tdmA31TIhVX+Sfhyx/fswYd75PEdeEz8w==" saltValue="YPaZM+ZhCxxKZEVZWOKZKw==" spinCount="100000" sheet="1" objects="1" scenarios="1"/>
  <mergeCells count="7">
    <mergeCell ref="B62:I62"/>
    <mergeCell ref="B50:I50"/>
    <mergeCell ref="H6:M6"/>
    <mergeCell ref="J9:K9"/>
    <mergeCell ref="J15:K15"/>
    <mergeCell ref="J20:K20"/>
    <mergeCell ref="C23:C26"/>
  </mergeCells>
  <conditionalFormatting sqref="E28">
    <cfRule type="cellIs" dxfId="1" priority="2" operator="notBetween">
      <formula>0.012</formula>
      <formula>0.066</formula>
    </cfRule>
  </conditionalFormatting>
  <conditionalFormatting sqref="E32">
    <cfRule type="cellIs" dxfId="0" priority="3" operator="greaterThan">
      <formula>1+$E$28</formula>
    </cfRule>
  </conditionalFormatting>
  <dataValidations count="7">
    <dataValidation type="decimal" allowBlank="1" showInputMessage="1" showErrorMessage="1" error="Per l’anno 2020 il valore 𝜌 non può assumere un valore superiore al 6,6%, fatta salva la facoltà prevista dal comma 4.5" sqref="E28" xr:uid="{C44E488A-C106-4339-9A93-D227363BD707}">
      <formula1>C24</formula1>
      <formula2>C25</formula2>
    </dataValidation>
    <dataValidation type="decimal" allowBlank="1" showInputMessage="1" showErrorMessage="1" error="Il valore delle essere ricompreso fra 0,1% e 0,5%" sqref="E24" xr:uid="{F81A8D5D-644F-42F3-8C58-829EB4450B23}">
      <formula1>0.1%</formula1>
      <formula2>0.5%</formula2>
    </dataValidation>
    <dataValidation type="decimal" allowBlank="1" showInputMessage="1" showErrorMessage="1" error="Il valore delle essere ricompreso fra 0% e 2%" sqref="E25" xr:uid="{8AFB2124-28D9-43A0-A3E5-290B00DE772A}">
      <formula1>0</formula1>
      <formula2>2%</formula2>
    </dataValidation>
    <dataValidation type="decimal" allowBlank="1" showInputMessage="1" showErrorMessage="1" error="Il valore delle essere ricompreso fra 0% e 3%" sqref="E26:E27" xr:uid="{EB964073-CDCA-4BB1-BAA1-1C95876F6594}">
      <formula1>0</formula1>
      <formula2>3%</formula2>
    </dataValidation>
    <dataValidation type="decimal" allowBlank="1" showInputMessage="1" showErrorMessage="1" error="Il valore delle essere ricompreso fra 0.3 e 0.6" sqref="E9 D4" xr:uid="{4765258E-CED2-4CD8-A342-A84E19C219C8}">
      <formula1>0.3</formula1>
      <formula2>0.6</formula2>
    </dataValidation>
    <dataValidation type="decimal" allowBlank="1" showInputMessage="1" showErrorMessage="1" error="Il valore delle essere ricompreso fra 0.1 e 0.4" sqref="E10" xr:uid="{37E0DDDE-0A00-4035-ABBF-2BE7DF3C6354}">
      <formula1>0.1</formula1>
      <formula2>0.4</formula2>
    </dataValidation>
    <dataValidation type="decimal" allowBlank="1" showInputMessage="1" showErrorMessage="1" error="Il valore delle essere ricompreso fra 1 e 4" sqref="E15" xr:uid="{FB8BC885-4879-4131-84E6-D0C87901E7C1}">
      <formula1>1</formula1>
      <formula2>4</formula2>
    </dataValidation>
  </dataValidations>
  <hyperlinks>
    <hyperlink ref="D9" location="Definizioni!A19" display="b" xr:uid="{52A97610-3D5D-4303-A59B-5A2D2FEF25FF}"/>
    <hyperlink ref="D10" location="Definizioni!A20" display="w" xr:uid="{876D735C-E682-430F-A40D-0FD72764A6F7}"/>
    <hyperlink ref="D11" location="Definizioni!A21" display="g" xr:uid="{DCB6833C-FEFC-409A-AE71-518810A8B96B}"/>
    <hyperlink ref="D12" location="Definizioni!A22" display="g1" xr:uid="{104D8B34-6BB6-4AEB-B37C-B349C42AB2CD}"/>
    <hyperlink ref="D13" location="Definizioni!A23" display="g2" xr:uid="{AA38D762-AC72-43AA-A7B2-12BA22C7CB39}"/>
    <hyperlink ref="D14" location="Definizioni!A24" display="g3" xr:uid="{1656AF95-1867-474A-82A8-5252EB916037}"/>
    <hyperlink ref="D15" location="Definizioni!A25" display="r" xr:uid="{CAF8DDB1-0FD7-43F9-9889-9632C4A0AD27}"/>
    <hyperlink ref="D24" location="Definizioni!A26" display="x" xr:uid="{900B8C14-8A55-4938-BD29-200D24E8132B}"/>
    <hyperlink ref="D25" location="Definizioni!A27" display="QL" xr:uid="{09DDC76F-5166-48D9-8A65-03855444AFB8}"/>
    <hyperlink ref="D26" location="Definizioni!A28" display="PG" xr:uid="{C69A1676-689E-441C-BD5F-68F4F4BC339F}"/>
    <hyperlink ref="D28" location="Definizioni!A29" display="r" xr:uid="{921DFD99-3596-488A-B1A0-DE07097CC891}"/>
    <hyperlink ref="C32" location="Definizioni!A31" display="Ta/Ta-1≤ (1 + 𝜌𝑎 )" xr:uid="{FF5061C0-FD2C-407F-8353-073ABDB1C057}"/>
    <hyperlink ref="D27" location="Definizioni!A36" display="C19" xr:uid="{143482CD-0A14-469B-A2B7-5B49F6621B82}"/>
    <hyperlink ref="B55" r:id="rId1" xr:uid="{57F7F9AA-865B-41D4-BE04-0C80D62B1352}"/>
    <hyperlink ref="B51" r:id="rId2" xr:uid="{FD2F18A2-6562-42C2-A781-2C4E8A95E4EB}"/>
    <hyperlink ref="B57" r:id="rId3" xr:uid="{6E2210E0-7306-4796-BE19-0573AFF952D1}"/>
    <hyperlink ref="B67" r:id="rId4" xr:uid="{BB3CAF6C-6894-47B3-932E-42E50CFA6CF4}"/>
    <hyperlink ref="B59" r:id="rId5" xr:uid="{8F64CD4A-16E4-4B91-B01B-D9A1945485B2}"/>
    <hyperlink ref="B61" r:id="rId6" xr:uid="{3A6F0105-8CAD-48A3-BE54-CF89256CAC62}"/>
    <hyperlink ref="B63" r:id="rId7" xr:uid="{5EAAD32E-AA0E-4169-B834-3777B5A1AD3C}"/>
    <hyperlink ref="B65" r:id="rId8" xr:uid="{6A45317C-14DA-4349-A8AB-BC2A24999EB5}"/>
    <hyperlink ref="I34" location="Definizioni!A35" display="Valorizzazione RCNDTV (art. 7 ter.2 del MTR)" xr:uid="{C99EF8B3-AAFA-443F-9E00-F9E8A551F560}"/>
    <hyperlink ref="C39" location="Definizioni!A35" display="Numero di rate r' per componenete RCNDTV" xr:uid="{6B62F8EF-2280-4556-B95F-758D125C793E}"/>
    <hyperlink ref="C43" location="Definizioni!A37" display="Componente variabile RCUTV" xr:uid="{05A821A9-0A1A-4BE9-A011-3B627063BA18}"/>
    <hyperlink ref="C44" location="Definizioni!A38" display="Componente fissa RCUTF" xr:uid="{EC432573-11CF-4B4F-BBEB-26C70FDCF164}"/>
    <hyperlink ref="B53" r:id="rId9" xr:uid="{C3A9A9AA-8290-4D30-883A-4A44ADE809D8}"/>
  </hyperlinks>
  <pageMargins left="0.70866141732283472" right="0.70866141732283472" top="0.74803149606299213" bottom="0.74803149606299213" header="0.31496062992125984" footer="0.31496062992125984"/>
  <pageSetup paperSize="9" scale="62" orientation="landscape"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theme="5" tint="-0.249977111117893"/>
  </sheetPr>
  <dimension ref="A1:D44"/>
  <sheetViews>
    <sheetView showGridLines="0" zoomScale="55" zoomScaleNormal="55" workbookViewId="0">
      <selection activeCell="A35" sqref="A35"/>
    </sheetView>
  </sheetViews>
  <sheetFormatPr defaultColWidth="0" defaultRowHeight="14"/>
  <cols>
    <col min="1" max="1" width="26.08984375" style="44" customWidth="1"/>
    <col min="2" max="2" width="114.453125" style="44" bestFit="1" customWidth="1"/>
    <col min="3" max="3" width="56.6328125" style="44" customWidth="1"/>
    <col min="4" max="4" width="22.36328125" style="44" customWidth="1"/>
    <col min="5" max="16384" width="9.08984375" style="44" hidden="1"/>
  </cols>
  <sheetData>
    <row r="1" spans="1:4" ht="18">
      <c r="A1" s="106" t="s">
        <v>129</v>
      </c>
    </row>
    <row r="2" spans="1:4" ht="15.5">
      <c r="A2" s="107"/>
    </row>
    <row r="3" spans="1:4" s="53" customFormat="1" ht="39.75" customHeight="1">
      <c r="A3" s="108" t="s">
        <v>130</v>
      </c>
      <c r="B3" s="109" t="s">
        <v>131</v>
      </c>
      <c r="C3" s="110" t="s">
        <v>132</v>
      </c>
      <c r="D3" s="44"/>
    </row>
    <row r="4" spans="1:4" ht="124.5" customHeight="1">
      <c r="A4" s="111" t="s">
        <v>133</v>
      </c>
      <c r="B4" s="112" t="s">
        <v>134</v>
      </c>
      <c r="C4" s="113" t="s">
        <v>135</v>
      </c>
    </row>
    <row r="5" spans="1:4" ht="93.75" customHeight="1">
      <c r="A5" s="111" t="s">
        <v>136</v>
      </c>
      <c r="B5" s="114" t="s">
        <v>137</v>
      </c>
      <c r="C5" s="113" t="s">
        <v>138</v>
      </c>
    </row>
    <row r="6" spans="1:4" ht="129" customHeight="1">
      <c r="A6" s="115" t="s">
        <v>139</v>
      </c>
      <c r="B6" s="116" t="s">
        <v>140</v>
      </c>
      <c r="C6" s="113" t="s">
        <v>141</v>
      </c>
    </row>
    <row r="7" spans="1:4" ht="126" customHeight="1">
      <c r="A7" s="111" t="s">
        <v>142</v>
      </c>
      <c r="B7" s="117" t="s">
        <v>143</v>
      </c>
      <c r="C7" s="113" t="s">
        <v>144</v>
      </c>
    </row>
    <row r="8" spans="1:4" ht="74.25" customHeight="1">
      <c r="A8" s="111" t="s">
        <v>145</v>
      </c>
      <c r="B8" s="118" t="s">
        <v>146</v>
      </c>
      <c r="C8" s="113" t="s">
        <v>147</v>
      </c>
    </row>
    <row r="9" spans="1:4" ht="71.25" customHeight="1">
      <c r="A9" s="119" t="s">
        <v>148</v>
      </c>
      <c r="B9" s="120" t="s">
        <v>149</v>
      </c>
      <c r="C9" s="121" t="s">
        <v>150</v>
      </c>
    </row>
    <row r="10" spans="1:4" ht="28">
      <c r="A10" s="122" t="s">
        <v>151</v>
      </c>
      <c r="B10" s="123" t="s">
        <v>152</v>
      </c>
      <c r="C10" s="121" t="s">
        <v>153</v>
      </c>
    </row>
    <row r="11" spans="1:4" ht="94.5" customHeight="1">
      <c r="A11" s="122" t="s">
        <v>154</v>
      </c>
      <c r="B11" s="124" t="s">
        <v>155</v>
      </c>
      <c r="C11" s="121" t="s">
        <v>156</v>
      </c>
    </row>
    <row r="12" spans="1:4" ht="247.5" customHeight="1">
      <c r="A12" s="122" t="s">
        <v>157</v>
      </c>
      <c r="B12" s="124" t="s">
        <v>158</v>
      </c>
      <c r="C12" s="125" t="s">
        <v>159</v>
      </c>
    </row>
    <row r="13" spans="1:4" ht="113.25" customHeight="1">
      <c r="A13" s="126" t="s">
        <v>160</v>
      </c>
      <c r="B13" s="127" t="s">
        <v>161</v>
      </c>
      <c r="C13" s="128" t="s">
        <v>162</v>
      </c>
    </row>
    <row r="14" spans="1:4" ht="104.25" customHeight="1">
      <c r="A14" s="129" t="s">
        <v>163</v>
      </c>
      <c r="B14" s="130" t="s">
        <v>164</v>
      </c>
      <c r="C14" s="131" t="s">
        <v>165</v>
      </c>
    </row>
    <row r="15" spans="1:4" ht="68.25" customHeight="1">
      <c r="A15" s="129" t="s">
        <v>166</v>
      </c>
      <c r="B15" s="130" t="s">
        <v>167</v>
      </c>
      <c r="C15" s="131" t="s">
        <v>165</v>
      </c>
    </row>
    <row r="16" spans="1:4" ht="141.75" customHeight="1">
      <c r="A16" s="129" t="s">
        <v>168</v>
      </c>
      <c r="B16" s="130" t="s">
        <v>169</v>
      </c>
      <c r="C16" s="131" t="s">
        <v>170</v>
      </c>
    </row>
    <row r="17" spans="1:3" ht="247.5" customHeight="1">
      <c r="A17" s="132" t="s">
        <v>171</v>
      </c>
      <c r="B17" s="130" t="s">
        <v>172</v>
      </c>
      <c r="C17" s="131" t="s">
        <v>173</v>
      </c>
    </row>
    <row r="18" spans="1:3" ht="252" customHeight="1">
      <c r="A18" s="132" t="s">
        <v>174</v>
      </c>
      <c r="B18" s="130" t="s">
        <v>175</v>
      </c>
      <c r="C18" s="131" t="s">
        <v>176</v>
      </c>
    </row>
    <row r="19" spans="1:3" ht="18.75" customHeight="1">
      <c r="A19" s="131" t="s">
        <v>4</v>
      </c>
      <c r="B19" s="133" t="s">
        <v>177</v>
      </c>
      <c r="C19" s="131" t="s">
        <v>178</v>
      </c>
    </row>
    <row r="20" spans="1:3" ht="42">
      <c r="A20" s="134" t="s">
        <v>5</v>
      </c>
      <c r="B20" s="133" t="s">
        <v>179</v>
      </c>
      <c r="C20" s="131" t="s">
        <v>178</v>
      </c>
    </row>
    <row r="21" spans="1:3" ht="70">
      <c r="A21" s="135" t="s">
        <v>6</v>
      </c>
      <c r="B21" s="133" t="s">
        <v>180</v>
      </c>
      <c r="C21" s="131" t="s">
        <v>181</v>
      </c>
    </row>
    <row r="22" spans="1:3" ht="19.5" customHeight="1">
      <c r="A22" s="134" t="s">
        <v>9</v>
      </c>
      <c r="B22" s="133" t="s">
        <v>208</v>
      </c>
      <c r="C22" s="131" t="s">
        <v>181</v>
      </c>
    </row>
    <row r="23" spans="1:3" ht="17">
      <c r="A23" s="134" t="s">
        <v>10</v>
      </c>
      <c r="B23" s="130" t="s">
        <v>182</v>
      </c>
      <c r="C23" s="131" t="s">
        <v>181</v>
      </c>
    </row>
    <row r="24" spans="1:3" ht="28">
      <c r="A24" s="134" t="s">
        <v>11</v>
      </c>
      <c r="B24" s="130" t="s">
        <v>183</v>
      </c>
      <c r="C24" s="131" t="s">
        <v>181</v>
      </c>
    </row>
    <row r="25" spans="1:3" ht="28">
      <c r="A25" s="136" t="s">
        <v>8</v>
      </c>
      <c r="B25" s="130" t="s">
        <v>184</v>
      </c>
      <c r="C25" s="131" t="s">
        <v>178</v>
      </c>
    </row>
    <row r="26" spans="1:3" ht="28">
      <c r="A26" s="136" t="s">
        <v>7</v>
      </c>
      <c r="B26" s="130" t="s">
        <v>185</v>
      </c>
      <c r="C26" s="131" t="s">
        <v>186</v>
      </c>
    </row>
    <row r="27" spans="1:3" ht="28">
      <c r="A27" s="136" t="s">
        <v>12</v>
      </c>
      <c r="B27" s="130" t="s">
        <v>187</v>
      </c>
      <c r="C27" s="131" t="s">
        <v>188</v>
      </c>
    </row>
    <row r="28" spans="1:3" ht="28">
      <c r="A28" s="136" t="s">
        <v>20</v>
      </c>
      <c r="B28" s="130" t="s">
        <v>189</v>
      </c>
      <c r="C28" s="131" t="s">
        <v>188</v>
      </c>
    </row>
    <row r="29" spans="1:3" ht="23.25" customHeight="1">
      <c r="A29" s="137" t="s">
        <v>8</v>
      </c>
      <c r="B29" s="141" t="s">
        <v>209</v>
      </c>
      <c r="C29" s="131" t="s">
        <v>190</v>
      </c>
    </row>
    <row r="30" spans="1:3" s="53" customFormat="1" ht="140.25" customHeight="1">
      <c r="A30" s="138" t="s">
        <v>191</v>
      </c>
      <c r="B30" s="139" t="s">
        <v>192</v>
      </c>
      <c r="C30" s="131" t="s">
        <v>193</v>
      </c>
    </row>
    <row r="31" spans="1:3" ht="21" customHeight="1">
      <c r="A31" s="138" t="s">
        <v>18</v>
      </c>
      <c r="B31" s="99" t="s">
        <v>194</v>
      </c>
      <c r="C31" s="131" t="s">
        <v>190</v>
      </c>
    </row>
    <row r="32" spans="1:3" ht="162" customHeight="1">
      <c r="A32" s="129" t="s">
        <v>195</v>
      </c>
      <c r="B32" s="130" t="s">
        <v>196</v>
      </c>
      <c r="C32" s="131" t="s">
        <v>197</v>
      </c>
    </row>
    <row r="33" spans="1:3" ht="142.5" customHeight="1">
      <c r="A33" s="129" t="s">
        <v>198</v>
      </c>
      <c r="B33" s="130" t="s">
        <v>199</v>
      </c>
      <c r="C33" s="131" t="s">
        <v>200</v>
      </c>
    </row>
    <row r="34" spans="1:3" ht="69" customHeight="1">
      <c r="A34" s="129" t="s">
        <v>201</v>
      </c>
      <c r="B34" s="130" t="s">
        <v>202</v>
      </c>
      <c r="C34" s="131" t="s">
        <v>203</v>
      </c>
    </row>
    <row r="35" spans="1:3" ht="175.5" customHeight="1">
      <c r="A35" s="129" t="s">
        <v>204</v>
      </c>
      <c r="B35" s="130" t="s">
        <v>325</v>
      </c>
      <c r="C35" s="131" t="s">
        <v>205</v>
      </c>
    </row>
    <row r="36" spans="1:3" ht="270.75" customHeight="1">
      <c r="A36" s="136" t="s">
        <v>114</v>
      </c>
      <c r="B36" s="130" t="s">
        <v>206</v>
      </c>
      <c r="C36" s="131" t="s">
        <v>207</v>
      </c>
    </row>
    <row r="37" spans="1:3" ht="45">
      <c r="A37" s="129" t="s">
        <v>328</v>
      </c>
      <c r="B37" s="130" t="s">
        <v>330</v>
      </c>
      <c r="C37" s="131" t="s">
        <v>333</v>
      </c>
    </row>
    <row r="38" spans="1:3" ht="45">
      <c r="A38" s="129" t="s">
        <v>331</v>
      </c>
      <c r="B38" s="130" t="s">
        <v>329</v>
      </c>
      <c r="C38" s="131" t="s">
        <v>332</v>
      </c>
    </row>
    <row r="44" spans="1:3" ht="14.5">
      <c r="B44"/>
    </row>
  </sheetData>
  <sheetProtection algorithmName="SHA-512" hashValue="IQFMhQmamotK8vRZEU83YH6HVjW4eXuDh8/DYjeDvTrqACxxZ9ez1hYomQOm41QkktLyeK0LB9TnYnM6vvOZXw==" saltValue="aZ2NXEH7tMBHjVTCa+3iOg==" spinCount="100000" sheet="1" objects="1" scenarios="1"/>
  <hyperlinks>
    <hyperlink ref="C3" r:id="rId1" xr:uid="{00000000-0004-0000-0100-000000000000}"/>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tabColor theme="2" tint="-0.499984740745262"/>
  </sheetPr>
  <dimension ref="A1:I52"/>
  <sheetViews>
    <sheetView showGridLines="0" zoomScale="85" zoomScaleNormal="85" workbookViewId="0">
      <pane ySplit="5" topLeftCell="A6" activePane="bottomLeft" state="frozen"/>
      <selection pane="bottomLeft" activeCell="F11" sqref="F11"/>
    </sheetView>
  </sheetViews>
  <sheetFormatPr defaultColWidth="0" defaultRowHeight="14.5" zeroHeight="1"/>
  <cols>
    <col min="1" max="1" width="9.08984375" customWidth="1"/>
    <col min="2" max="2" width="14.81640625" customWidth="1"/>
    <col min="3" max="3" width="56.453125" customWidth="1"/>
    <col min="4" max="6" width="25.453125" customWidth="1"/>
    <col min="7" max="8" width="20.08984375" customWidth="1"/>
    <col min="9" max="9" width="9.08984375" customWidth="1"/>
    <col min="10" max="16384" width="9.08984375" hidden="1"/>
  </cols>
  <sheetData>
    <row r="1" spans="1:8" ht="16" thickBot="1">
      <c r="A1" s="4" t="s">
        <v>42</v>
      </c>
      <c r="B1" s="151"/>
      <c r="C1" s="11" t="s">
        <v>43</v>
      </c>
      <c r="H1" s="4"/>
    </row>
    <row r="2" spans="1:8" ht="16.5" thickTop="1" thickBot="1">
      <c r="A2" s="152" t="s">
        <v>37</v>
      </c>
      <c r="B2" s="151"/>
      <c r="C2" s="11" t="s">
        <v>80</v>
      </c>
      <c r="H2" s="4"/>
    </row>
    <row r="3" spans="1:8" ht="16.5" thickTop="1" thickBot="1">
      <c r="A3" s="152"/>
      <c r="B3" s="151"/>
      <c r="C3" s="11" t="s">
        <v>40</v>
      </c>
      <c r="H3" s="4"/>
    </row>
    <row r="4" spans="1:8" ht="15.5" thickTop="1" thickBot="1">
      <c r="A4" s="151"/>
      <c r="B4" s="151"/>
      <c r="C4" s="13" t="s">
        <v>63</v>
      </c>
      <c r="H4" s="151"/>
    </row>
    <row r="5" spans="1:8" ht="15" thickTop="1">
      <c r="C5" s="153"/>
      <c r="H5" s="153"/>
    </row>
    <row r="6" spans="1:8">
      <c r="A6" s="6" t="s">
        <v>41</v>
      </c>
      <c r="B6" s="6" t="s">
        <v>38</v>
      </c>
      <c r="C6" s="7"/>
      <c r="D6" s="6"/>
      <c r="E6" s="6"/>
      <c r="F6" s="6"/>
      <c r="G6" s="6"/>
      <c r="H6" s="7"/>
    </row>
    <row r="7" spans="1:8"/>
    <row r="8" spans="1:8"/>
    <row r="9" spans="1:8">
      <c r="D9" s="154">
        <v>2018</v>
      </c>
      <c r="E9" s="154">
        <v>2019</v>
      </c>
      <c r="F9" s="154">
        <v>2020</v>
      </c>
    </row>
    <row r="10" spans="1:8">
      <c r="C10" s="12" t="s">
        <v>2</v>
      </c>
      <c r="D10" s="400"/>
      <c r="E10" s="399">
        <f t="shared" ref="E10" si="0">+E11+E12</f>
        <v>967900</v>
      </c>
      <c r="F10" s="399">
        <v>967891</v>
      </c>
    </row>
    <row r="11" spans="1:8">
      <c r="C11" s="5" t="s">
        <v>0</v>
      </c>
      <c r="D11" s="400"/>
      <c r="E11" s="399">
        <v>520827</v>
      </c>
      <c r="F11" s="412">
        <v>590410</v>
      </c>
    </row>
    <row r="12" spans="1:8" ht="15" thickBot="1">
      <c r="C12" s="413" t="s">
        <v>1</v>
      </c>
      <c r="D12" s="414"/>
      <c r="E12" s="415">
        <v>447073</v>
      </c>
      <c r="F12" s="416">
        <v>377481</v>
      </c>
    </row>
    <row r="13" spans="1:8">
      <c r="C13" s="409" t="s">
        <v>3</v>
      </c>
      <c r="D13" s="410"/>
      <c r="E13" s="411">
        <f>[1]Previsionali!E13</f>
        <v>0</v>
      </c>
    </row>
    <row r="14" spans="1:8">
      <c r="C14" s="5" t="s">
        <v>0</v>
      </c>
      <c r="D14" s="400"/>
      <c r="E14" s="399">
        <f>[1]Previsionali!E14</f>
        <v>0</v>
      </c>
    </row>
    <row r="15" spans="1:8">
      <c r="C15" s="5" t="s">
        <v>1</v>
      </c>
      <c r="D15" s="400"/>
      <c r="E15" s="399">
        <f>[1]Previsionali!E15</f>
        <v>0</v>
      </c>
    </row>
    <row r="16" spans="1:8"/>
    <row r="17" spans="1:8">
      <c r="C17" s="155" t="s">
        <v>110</v>
      </c>
      <c r="D17" s="154">
        <v>2018</v>
      </c>
      <c r="E17" s="154">
        <v>2019</v>
      </c>
      <c r="F17" s="154">
        <v>2020</v>
      </c>
      <c r="G17" s="154">
        <v>2021</v>
      </c>
    </row>
    <row r="18" spans="1:8" ht="29">
      <c r="C18" s="14" t="s">
        <v>64</v>
      </c>
      <c r="D18" s="400"/>
      <c r="E18" s="399">
        <f>[1]Previsionali!E18</f>
        <v>0</v>
      </c>
      <c r="F18" s="400"/>
      <c r="G18" s="399">
        <f>[1]Previsionali!G18</f>
        <v>0</v>
      </c>
    </row>
    <row r="19" spans="1:8" ht="29">
      <c r="C19" s="14" t="s">
        <v>65</v>
      </c>
      <c r="D19" s="400"/>
      <c r="E19" s="399">
        <f>[1]Previsionali!E19</f>
        <v>0</v>
      </c>
      <c r="F19" s="400"/>
      <c r="G19" s="399">
        <f>[1]Previsionali!G19</f>
        <v>0</v>
      </c>
    </row>
    <row r="20" spans="1:8">
      <c r="C20" s="12" t="s">
        <v>66</v>
      </c>
      <c r="D20" s="400"/>
      <c r="E20" s="399">
        <f>[1]Previsionali!E20</f>
        <v>0</v>
      </c>
      <c r="F20" s="400"/>
      <c r="G20" s="399">
        <f>[1]Previsionali!G20</f>
        <v>0</v>
      </c>
    </row>
    <row r="21" spans="1:8" ht="27.75" customHeight="1">
      <c r="C21" s="14" t="s">
        <v>67</v>
      </c>
      <c r="D21" s="400"/>
      <c r="E21" s="399">
        <f>[1]Previsionali!E21</f>
        <v>0</v>
      </c>
      <c r="F21" s="400"/>
      <c r="G21" s="399">
        <f>[1]Previsionali!G21</f>
        <v>0</v>
      </c>
    </row>
    <row r="22" spans="1:8">
      <c r="D22" s="155"/>
      <c r="E22" s="155"/>
    </row>
    <row r="23" spans="1:8">
      <c r="C23" s="5" t="s">
        <v>39</v>
      </c>
      <c r="D23" s="400"/>
      <c r="E23" s="399">
        <v>4865</v>
      </c>
      <c r="F23" s="400"/>
      <c r="G23" s="399">
        <v>4930</v>
      </c>
    </row>
    <row r="24" spans="1:8"/>
    <row r="25" spans="1:8">
      <c r="A25" s="6" t="s">
        <v>41</v>
      </c>
      <c r="B25" s="6" t="s">
        <v>81</v>
      </c>
      <c r="C25" s="7"/>
      <c r="D25" s="6"/>
      <c r="E25" s="6"/>
      <c r="F25" s="6"/>
      <c r="G25" s="6"/>
      <c r="H25" s="7"/>
    </row>
    <row r="26" spans="1:8"/>
    <row r="27" spans="1:8">
      <c r="C27" s="12" t="s">
        <v>82</v>
      </c>
      <c r="D27" s="400"/>
      <c r="E27" s="399">
        <v>218.09</v>
      </c>
      <c r="F27" s="400"/>
      <c r="G27" s="399">
        <v>218</v>
      </c>
    </row>
    <row r="28" spans="1:8"/>
    <row r="29" spans="1:8"/>
    <row r="30" spans="1:8">
      <c r="A30" s="6" t="s">
        <v>41</v>
      </c>
      <c r="B30" s="6" t="s">
        <v>40</v>
      </c>
      <c r="C30" s="7"/>
      <c r="D30" s="6"/>
      <c r="E30" s="6"/>
      <c r="F30" s="6"/>
      <c r="G30" s="6"/>
      <c r="H30" s="7"/>
    </row>
    <row r="31" spans="1:8"/>
    <row r="32" spans="1:8">
      <c r="C32" s="21" t="s">
        <v>16</v>
      </c>
      <c r="D32" s="401"/>
      <c r="E32" s="401"/>
      <c r="F32" s="402"/>
      <c r="G32" s="20"/>
    </row>
    <row r="33" spans="1:8">
      <c r="C33" s="21" t="s">
        <v>17</v>
      </c>
      <c r="D33" s="401"/>
      <c r="E33" s="401"/>
      <c r="F33" s="402"/>
      <c r="G33" s="20"/>
    </row>
    <row r="34" spans="1:8"/>
    <row r="35" spans="1:8">
      <c r="A35" s="6" t="s">
        <v>41</v>
      </c>
      <c r="B35" s="6" t="s">
        <v>116</v>
      </c>
      <c r="C35" s="7"/>
      <c r="D35" s="6"/>
      <c r="E35" s="6"/>
      <c r="F35" s="6"/>
      <c r="G35" s="6"/>
      <c r="H35" s="7"/>
    </row>
    <row r="36" spans="1:8"/>
    <row r="37" spans="1:8">
      <c r="C37" s="21" t="s">
        <v>111</v>
      </c>
      <c r="D37" s="401"/>
      <c r="E37" s="401"/>
      <c r="F37" s="401"/>
      <c r="G37" s="15"/>
    </row>
    <row r="38" spans="1:8">
      <c r="C38" s="21" t="s">
        <v>112</v>
      </c>
      <c r="D38" s="401"/>
      <c r="E38" s="401"/>
      <c r="F38" s="401"/>
      <c r="G38" s="15"/>
    </row>
    <row r="39" spans="1:8">
      <c r="C39" s="21" t="s">
        <v>113</v>
      </c>
      <c r="D39" s="401"/>
      <c r="E39" s="401"/>
      <c r="F39" s="401"/>
      <c r="G39" s="15"/>
    </row>
    <row r="40" spans="1:8"/>
    <row r="41" spans="1:8"/>
    <row r="42" spans="1:8" ht="15.75" customHeight="1"/>
    <row r="43" spans="1:8"/>
    <row r="44" spans="1:8"/>
    <row r="45" spans="1:8"/>
    <row r="46" spans="1:8"/>
    <row r="47" spans="1:8"/>
    <row r="48" spans="1:8"/>
    <row r="49"/>
    <row r="50"/>
    <row r="51"/>
    <row r="52"/>
  </sheetData>
  <sheetProtection algorithmName="SHA-512" hashValue="LsVPe11v6oTCkoxfMWjGnCgprVKcKOh12YHgqEke7LTzGSLth3SgScTx3niMCebOE0FS4ek8M9riYGnax6L+Rw==" saltValue="Zx0ZWtMym6xQrcM7X/u1Cw==" spinCount="100000" sheet="1" objects="1" scenarios="1"/>
  <hyperlinks>
    <hyperlink ref="C1" location="Previsionali!D9" display="Dati da PEF" xr:uid="{00000000-0004-0000-0200-000000000000}"/>
    <hyperlink ref="C2" location="Previsionali!D27" display="Informazioni aggiuntive" xr:uid="{00000000-0004-0000-0200-000001000000}"/>
    <hyperlink ref="C4" location="Dashboard!C3" display="Torna a Pannello di controllo" xr:uid="{00000000-0004-0000-0200-000002000000}"/>
    <hyperlink ref="C3" location="Previsionali!F32" display="Componenti previsionali di costo" xr:uid="{00000000-0004-0000-0200-000003000000}"/>
    <hyperlink ref="C32" location="Definizioni!A14" display="COITV" xr:uid="{00000000-0004-0000-0200-000004000000}"/>
    <hyperlink ref="C33" location="Previsionali!A15" display="COITF" xr:uid="{00000000-0004-0000-0200-000005000000}"/>
  </hyperlink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A7CCF-71B9-4ED2-BF1F-AD5CFE467B51}">
  <sheetPr codeName="Foglio6"/>
  <dimension ref="A1:BI615"/>
  <sheetViews>
    <sheetView topLeftCell="A91" zoomScaleNormal="100" workbookViewId="0">
      <selection activeCell="C23" sqref="C23"/>
    </sheetView>
  </sheetViews>
  <sheetFormatPr defaultColWidth="9.81640625" defaultRowHeight="15.5"/>
  <cols>
    <col min="1" max="1" width="2.36328125" style="23" customWidth="1"/>
    <col min="2" max="2" width="131.6328125" style="166" customWidth="1"/>
    <col min="3" max="3" width="17.81640625" style="166" customWidth="1"/>
    <col min="4" max="4" width="3.453125" style="166" customWidth="1"/>
    <col min="5" max="6" width="17.6328125" style="382" customWidth="1"/>
    <col min="7" max="7" width="19.6328125" style="382" customWidth="1"/>
    <col min="8" max="8" width="1.6328125" style="165" customWidth="1"/>
    <col min="9" max="9" width="2.08984375" style="23" customWidth="1"/>
    <col min="10" max="12" width="1.6328125" style="23" customWidth="1"/>
    <col min="13" max="13" width="1.81640625" style="23" customWidth="1"/>
    <col min="14" max="14" width="38.6328125" style="23" customWidth="1"/>
    <col min="15" max="61" width="9.81640625" style="23"/>
    <col min="62" max="16384" width="9.81640625" style="166"/>
  </cols>
  <sheetData>
    <row r="1" spans="2:14" s="156" customFormat="1" ht="13.5" customHeight="1">
      <c r="B1" s="157"/>
      <c r="C1" s="157"/>
      <c r="D1" s="158"/>
      <c r="E1" s="271"/>
      <c r="F1" s="272"/>
      <c r="G1" s="273" t="s">
        <v>210</v>
      </c>
      <c r="H1" s="159"/>
    </row>
    <row r="2" spans="2:14" s="160" customFormat="1" ht="38" customHeight="1" thickBot="1">
      <c r="B2" s="161" t="s">
        <v>211</v>
      </c>
      <c r="C2" s="162" t="s">
        <v>212</v>
      </c>
      <c r="E2" s="274"/>
      <c r="F2" s="274"/>
      <c r="G2" s="274"/>
      <c r="H2" s="163"/>
    </row>
    <row r="3" spans="2:14" ht="16.5" thickTop="1" thickBot="1">
      <c r="B3" s="23"/>
      <c r="C3" s="164"/>
      <c r="D3" s="164"/>
      <c r="E3" s="275"/>
      <c r="F3" s="275"/>
      <c r="G3" s="276"/>
    </row>
    <row r="4" spans="2:14" ht="31.5" thickBot="1">
      <c r="B4" s="167"/>
      <c r="C4" s="168" t="s">
        <v>83</v>
      </c>
      <c r="D4" s="37"/>
      <c r="E4" s="431" t="s">
        <v>213</v>
      </c>
      <c r="F4" s="432"/>
      <c r="G4" s="433"/>
      <c r="H4" s="169"/>
      <c r="I4" s="170"/>
    </row>
    <row r="5" spans="2:14" ht="62">
      <c r="B5" s="171"/>
      <c r="C5" s="172" t="s">
        <v>214</v>
      </c>
      <c r="D5" s="173"/>
      <c r="E5" s="277" t="s">
        <v>215</v>
      </c>
      <c r="F5" s="277" t="s">
        <v>216</v>
      </c>
      <c r="G5" s="278" t="s">
        <v>217</v>
      </c>
      <c r="H5" s="174"/>
      <c r="I5" s="175"/>
      <c r="N5" s="142" t="s">
        <v>84</v>
      </c>
    </row>
    <row r="6" spans="2:14" ht="20" customHeight="1">
      <c r="B6" s="176" t="s">
        <v>218</v>
      </c>
      <c r="C6" s="32" t="s">
        <v>85</v>
      </c>
      <c r="D6" s="177"/>
      <c r="E6" s="279">
        <f>+[2]ModPEF21Gestore!E6</f>
        <v>106252.46182550998</v>
      </c>
      <c r="F6" s="279">
        <f>+[1]ModPEF21Comune!F6</f>
        <v>0</v>
      </c>
      <c r="G6" s="280">
        <f>E6+F6</f>
        <v>106252.46182550998</v>
      </c>
      <c r="N6" s="143" t="s">
        <v>86</v>
      </c>
    </row>
    <row r="7" spans="2:14" ht="20" customHeight="1">
      <c r="B7" s="176" t="s">
        <v>219</v>
      </c>
      <c r="C7" s="32" t="s">
        <v>85</v>
      </c>
      <c r="D7" s="177"/>
      <c r="E7" s="279">
        <f>+[2]ModPEF21Gestore!E7</f>
        <v>95692.724126999979</v>
      </c>
      <c r="F7" s="279">
        <f>+[1]ModPEF21Comune!F7</f>
        <v>0</v>
      </c>
      <c r="G7" s="280">
        <f t="shared" ref="G7:G17" si="0">E7+F7</f>
        <v>95692.724126999979</v>
      </c>
      <c r="N7" s="178" t="s">
        <v>87</v>
      </c>
    </row>
    <row r="8" spans="2:14" ht="20" customHeight="1">
      <c r="B8" s="176" t="s">
        <v>220</v>
      </c>
      <c r="C8" s="32" t="s">
        <v>85</v>
      </c>
      <c r="D8" s="177"/>
      <c r="E8" s="279">
        <f>+[2]ModPEF21Gestore!E8</f>
        <v>128170.18113899996</v>
      </c>
      <c r="F8" s="279">
        <f>+[1]ModPEF21Comune!F8</f>
        <v>0</v>
      </c>
      <c r="G8" s="280">
        <f t="shared" si="0"/>
        <v>128170.18113899996</v>
      </c>
      <c r="N8" s="144" t="s">
        <v>88</v>
      </c>
    </row>
    <row r="9" spans="2:14" ht="20" customHeight="1">
      <c r="B9" s="176" t="s">
        <v>221</v>
      </c>
      <c r="C9" s="32" t="s">
        <v>85</v>
      </c>
      <c r="D9" s="177"/>
      <c r="E9" s="279">
        <f>+[2]ModPEF21Gestore!E9</f>
        <v>231029.96716799994</v>
      </c>
      <c r="F9" s="279">
        <f>+[1]ModPEF21Comune!F9</f>
        <v>0</v>
      </c>
      <c r="G9" s="280">
        <f t="shared" si="0"/>
        <v>231029.96716799994</v>
      </c>
      <c r="N9" s="145" t="s">
        <v>89</v>
      </c>
    </row>
    <row r="10" spans="2:14" ht="20" customHeight="1">
      <c r="B10" s="179" t="s">
        <v>222</v>
      </c>
      <c r="C10" s="32" t="s">
        <v>85</v>
      </c>
      <c r="D10" s="177"/>
      <c r="E10" s="418">
        <f>+[2]ModPEF21Gestore!E10</f>
        <v>0</v>
      </c>
      <c r="F10" s="418">
        <f>+[1]ModPEF21Comune!F10</f>
        <v>0</v>
      </c>
      <c r="G10" s="280">
        <f t="shared" si="0"/>
        <v>0</v>
      </c>
      <c r="N10" s="166"/>
    </row>
    <row r="11" spans="2:14" ht="20" customHeight="1">
      <c r="B11" s="180" t="s">
        <v>223</v>
      </c>
      <c r="C11" s="32" t="s">
        <v>85</v>
      </c>
      <c r="D11" s="177"/>
      <c r="E11" s="279">
        <f>+[2]ModPEF21Gestore!E11</f>
        <v>123312.52833899998</v>
      </c>
      <c r="F11" s="279">
        <f>+[1]ModPEF21Comune!F11</f>
        <v>0</v>
      </c>
      <c r="G11" s="280">
        <f t="shared" si="0"/>
        <v>123312.52833899998</v>
      </c>
    </row>
    <row r="12" spans="2:14" ht="20" customHeight="1">
      <c r="B12" s="176" t="s">
        <v>224</v>
      </c>
      <c r="C12" s="32" t="s">
        <v>90</v>
      </c>
      <c r="D12" s="177"/>
      <c r="E12" s="281">
        <f>Dashboard21!$E$9</f>
        <v>0.6</v>
      </c>
      <c r="F12" s="281">
        <f>Dashboard21!$E$9</f>
        <v>0.6</v>
      </c>
      <c r="G12" s="282"/>
    </row>
    <row r="13" spans="2:14" ht="20" customHeight="1">
      <c r="B13" s="176" t="s">
        <v>225</v>
      </c>
      <c r="C13" s="32" t="s">
        <v>90</v>
      </c>
      <c r="D13" s="177"/>
      <c r="E13" s="280">
        <f>+E12*E11</f>
        <v>73987.517003399989</v>
      </c>
      <c r="F13" s="280">
        <f>+F12*F11</f>
        <v>0</v>
      </c>
      <c r="G13" s="280">
        <f t="shared" si="0"/>
        <v>73987.517003399989</v>
      </c>
    </row>
    <row r="14" spans="2:14" ht="20" customHeight="1">
      <c r="B14" s="176" t="s">
        <v>226</v>
      </c>
      <c r="C14" s="32" t="s">
        <v>85</v>
      </c>
      <c r="D14" s="177"/>
      <c r="E14" s="279">
        <f>+[2]ModPEF21Gestore!E14</f>
        <v>0</v>
      </c>
      <c r="F14" s="279">
        <f>+[1]ModPEF21Comune!F14</f>
        <v>0</v>
      </c>
      <c r="G14" s="280">
        <f t="shared" si="0"/>
        <v>0</v>
      </c>
    </row>
    <row r="15" spans="2:14" ht="20" customHeight="1">
      <c r="B15" s="176" t="s">
        <v>227</v>
      </c>
      <c r="C15" s="32" t="s">
        <v>90</v>
      </c>
      <c r="D15" s="177"/>
      <c r="E15" s="281">
        <f>+Dashboard21!$E$9*(1+Dashboard21!$E$10)</f>
        <v>0.66</v>
      </c>
      <c r="F15" s="281">
        <f>+Dashboard21!$E$9*(1+Dashboard21!$E$10)</f>
        <v>0.66</v>
      </c>
      <c r="G15" s="282"/>
    </row>
    <row r="16" spans="2:14" ht="20" customHeight="1">
      <c r="B16" s="176" t="s">
        <v>228</v>
      </c>
      <c r="C16" s="32" t="s">
        <v>90</v>
      </c>
      <c r="D16" s="177"/>
      <c r="E16" s="280">
        <f>+E15*E14</f>
        <v>0</v>
      </c>
      <c r="F16" s="280">
        <f>+F15*F14</f>
        <v>0</v>
      </c>
      <c r="G16" s="280">
        <f t="shared" si="0"/>
        <v>0</v>
      </c>
    </row>
    <row r="17" spans="1:61" ht="20" customHeight="1">
      <c r="B17" s="176" t="s">
        <v>229</v>
      </c>
      <c r="C17" s="181" t="s">
        <v>230</v>
      </c>
      <c r="D17" s="177"/>
      <c r="E17" s="279">
        <f>+[2]ModPEF21Gestore!E17</f>
        <v>59122.474158999859</v>
      </c>
      <c r="F17" s="279">
        <f>+[1]ModPEF21Comune!F17</f>
        <v>0</v>
      </c>
      <c r="G17" s="280">
        <f t="shared" si="0"/>
        <v>59122.474158999859</v>
      </c>
    </row>
    <row r="18" spans="1:61" ht="20" customHeight="1">
      <c r="B18" s="176" t="s">
        <v>231</v>
      </c>
      <c r="C18" s="32" t="s">
        <v>90</v>
      </c>
      <c r="D18" s="182"/>
      <c r="E18" s="281">
        <f>+E84</f>
        <v>0.5</v>
      </c>
      <c r="F18" s="281">
        <f>+F84</f>
        <v>0.5</v>
      </c>
      <c r="G18" s="282"/>
      <c r="I18" s="183"/>
    </row>
    <row r="19" spans="1:61" ht="20" customHeight="1">
      <c r="B19" s="176" t="s">
        <v>232</v>
      </c>
      <c r="C19" s="32" t="s">
        <v>90</v>
      </c>
      <c r="D19" s="177"/>
      <c r="E19" s="383">
        <f>Dashboard21!$E$15</f>
        <v>1</v>
      </c>
      <c r="F19" s="383">
        <f>Dashboard21!$E$15</f>
        <v>1</v>
      </c>
      <c r="G19" s="282"/>
    </row>
    <row r="20" spans="1:61" ht="20" customHeight="1">
      <c r="B20" s="184" t="s">
        <v>233</v>
      </c>
      <c r="C20" s="32" t="s">
        <v>90</v>
      </c>
      <c r="D20" s="177"/>
      <c r="E20" s="280">
        <f>+IF(E19=0,0,E17*E18/E19)</f>
        <v>29561.23707949993</v>
      </c>
      <c r="F20" s="280">
        <f>+IF(F19=0,0,F17*F18/F19)</f>
        <v>0</v>
      </c>
      <c r="G20" s="280">
        <f>E20+F20</f>
        <v>29561.23707949993</v>
      </c>
    </row>
    <row r="21" spans="1:61" ht="20" customHeight="1">
      <c r="A21" s="166"/>
      <c r="B21" s="176" t="s">
        <v>92</v>
      </c>
      <c r="C21" s="32" t="s">
        <v>85</v>
      </c>
      <c r="D21" s="177"/>
      <c r="E21" s="283"/>
      <c r="F21" s="279">
        <f>+[1]ModPEF21Comune!F21</f>
        <v>47886.33649799999</v>
      </c>
      <c r="G21" s="280">
        <f>F21</f>
        <v>47886.33649799999</v>
      </c>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row>
    <row r="22" spans="1:61" ht="20" customHeight="1" thickBot="1">
      <c r="A22" s="166"/>
      <c r="B22" s="185" t="s">
        <v>234</v>
      </c>
      <c r="C22" s="31" t="s">
        <v>91</v>
      </c>
      <c r="D22" s="177"/>
      <c r="E22" s="284">
        <f t="shared" ref="E22:F22" si="1">+E21+E20-E16-E13+E10+E9+E8+E7+E6</f>
        <v>516719.05433560978</v>
      </c>
      <c r="F22" s="284">
        <f t="shared" si="1"/>
        <v>47886.33649799999</v>
      </c>
      <c r="G22" s="284">
        <f>E22+F22</f>
        <v>564605.39083360974</v>
      </c>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row>
    <row r="23" spans="1:61" ht="20" customHeight="1" thickBot="1">
      <c r="A23" s="166"/>
      <c r="B23" s="186"/>
      <c r="C23" s="42"/>
      <c r="D23" s="187"/>
      <c r="E23" s="285"/>
      <c r="F23" s="285"/>
      <c r="G23" s="286"/>
      <c r="N23" s="14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row>
    <row r="24" spans="1:61" ht="20" customHeight="1">
      <c r="A24" s="166"/>
      <c r="B24" s="188" t="s">
        <v>235</v>
      </c>
      <c r="C24" s="35" t="s">
        <v>85</v>
      </c>
      <c r="D24" s="177"/>
      <c r="E24" s="287">
        <f>+[2]ModPEF21Gestore!E24</f>
        <v>120734.93632199997</v>
      </c>
      <c r="F24" s="287">
        <f>+[1]ModPEF21Comune!F24</f>
        <v>0</v>
      </c>
      <c r="G24" s="288">
        <f t="shared" ref="G24:G40" si="2">E24+F24</f>
        <v>120734.93632199997</v>
      </c>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row>
    <row r="25" spans="1:61" ht="20" customHeight="1">
      <c r="A25" s="166"/>
      <c r="B25" s="176" t="s">
        <v>236</v>
      </c>
      <c r="C25" s="32" t="s">
        <v>85</v>
      </c>
      <c r="D25" s="177"/>
      <c r="E25" s="279">
        <f>+[2]ModPEF21Gestore!E25</f>
        <v>0</v>
      </c>
      <c r="F25" s="279">
        <f>+[1]ModPEF21Comune!F25</f>
        <v>0</v>
      </c>
      <c r="G25" s="289">
        <f t="shared" si="2"/>
        <v>0</v>
      </c>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row>
    <row r="26" spans="1:61" ht="20" customHeight="1">
      <c r="A26" s="166"/>
      <c r="B26" s="189" t="s">
        <v>237</v>
      </c>
      <c r="C26" s="40" t="s">
        <v>85</v>
      </c>
      <c r="D26" s="177"/>
      <c r="E26" s="290">
        <f>+[2]ModPEF21Gestore!E26</f>
        <v>121708.49090399998</v>
      </c>
      <c r="F26" s="290">
        <f>+[1]ModPEF21Comune!F26</f>
        <v>0</v>
      </c>
      <c r="G26" s="291">
        <f t="shared" si="2"/>
        <v>121708.49090399998</v>
      </c>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row>
    <row r="27" spans="1:61" ht="20" customHeight="1">
      <c r="A27" s="166"/>
      <c r="B27" s="190" t="s">
        <v>238</v>
      </c>
      <c r="C27" s="40" t="s">
        <v>85</v>
      </c>
      <c r="D27" s="177"/>
      <c r="E27" s="290">
        <f>+[2]ModPEF21Gestore!E27</f>
        <v>86890.252448999978</v>
      </c>
      <c r="F27" s="290">
        <f>+[1]ModPEF21Comune!F27</f>
        <v>0</v>
      </c>
      <c r="G27" s="291">
        <f t="shared" si="2"/>
        <v>86890.252448999978</v>
      </c>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row>
    <row r="28" spans="1:61" ht="20" customHeight="1">
      <c r="A28" s="166"/>
      <c r="B28" s="189" t="s">
        <v>239</v>
      </c>
      <c r="C28" s="40" t="s">
        <v>85</v>
      </c>
      <c r="D28" s="177"/>
      <c r="E28" s="290">
        <f>+[2]ModPEF21Gestore!E28</f>
        <v>0</v>
      </c>
      <c r="F28" s="290">
        <f>+[1]ModPEF21Comune!F28</f>
        <v>0</v>
      </c>
      <c r="G28" s="291">
        <f t="shared" si="2"/>
        <v>0</v>
      </c>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row>
    <row r="29" spans="1:61" ht="20" customHeight="1">
      <c r="A29" s="166"/>
      <c r="B29" s="191" t="s">
        <v>240</v>
      </c>
      <c r="C29" s="39" t="s">
        <v>91</v>
      </c>
      <c r="D29" s="177"/>
      <c r="E29" s="292">
        <f>+E28+E27+E26+E25</f>
        <v>208598.74335299997</v>
      </c>
      <c r="F29" s="292">
        <f>+F28+F27+F26+F25</f>
        <v>0</v>
      </c>
      <c r="G29" s="293">
        <f t="shared" si="2"/>
        <v>208598.74335299997</v>
      </c>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row>
    <row r="30" spans="1:61" ht="20" customHeight="1">
      <c r="A30" s="166"/>
      <c r="B30" s="176" t="s">
        <v>241</v>
      </c>
      <c r="C30" s="41" t="s">
        <v>85</v>
      </c>
      <c r="D30" s="177"/>
      <c r="E30" s="294">
        <f>+[2]ModPEF21Gestore!E30</f>
        <v>70181.885727689194</v>
      </c>
      <c r="F30" s="279">
        <f>+[1]ModPEF21Comune!F30</f>
        <v>0</v>
      </c>
      <c r="G30" s="291">
        <f t="shared" si="2"/>
        <v>70181.885727689194</v>
      </c>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row>
    <row r="31" spans="1:61" ht="20" customHeight="1">
      <c r="A31" s="166"/>
      <c r="B31" s="189" t="s">
        <v>242</v>
      </c>
      <c r="C31" s="40" t="s">
        <v>85</v>
      </c>
      <c r="D31" s="177"/>
      <c r="E31" s="295">
        <f>[2]ModPEF21Gestore!$E$31</f>
        <v>0</v>
      </c>
      <c r="F31" s="295">
        <f>+[1]ModPEF21Comune!F31</f>
        <v>0</v>
      </c>
      <c r="G31" s="291">
        <f t="shared" si="2"/>
        <v>0</v>
      </c>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row>
    <row r="32" spans="1:61" ht="20" customHeight="1">
      <c r="A32" s="166"/>
      <c r="B32" s="192" t="s">
        <v>93</v>
      </c>
      <c r="C32" s="40" t="s">
        <v>85</v>
      </c>
      <c r="D32" s="177"/>
      <c r="E32" s="290">
        <f>+[2]ModPEF21Gestore!E32</f>
        <v>0</v>
      </c>
      <c r="F32" s="290">
        <f>+[1]ModPEF21Comune!F32</f>
        <v>0</v>
      </c>
      <c r="G32" s="291">
        <f t="shared" si="2"/>
        <v>0</v>
      </c>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row>
    <row r="33" spans="2:38" s="166" customFormat="1" ht="20" customHeight="1">
      <c r="B33" s="192" t="s">
        <v>94</v>
      </c>
      <c r="C33" s="40" t="s">
        <v>85</v>
      </c>
      <c r="D33" s="177"/>
      <c r="E33" s="290">
        <f>+[2]ModPEF21Gestore!E33</f>
        <v>0</v>
      </c>
      <c r="F33" s="290">
        <f>+[1]ModPEF21Comune!F33</f>
        <v>0</v>
      </c>
      <c r="G33" s="291">
        <f>E33+F33</f>
        <v>0</v>
      </c>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row>
    <row r="34" spans="2:38" s="166" customFormat="1" ht="20" customHeight="1">
      <c r="B34" s="192" t="s">
        <v>95</v>
      </c>
      <c r="C34" s="40" t="s">
        <v>85</v>
      </c>
      <c r="D34" s="177"/>
      <c r="E34" s="290">
        <f>+[2]ModPEF21Gestore!E34</f>
        <v>0</v>
      </c>
      <c r="F34" s="290">
        <f>+[1]ModPEF21Comune!F34</f>
        <v>0</v>
      </c>
      <c r="G34" s="291">
        <f t="shared" si="2"/>
        <v>0</v>
      </c>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row r="35" spans="2:38" s="166" customFormat="1" ht="20" customHeight="1">
      <c r="B35" s="192" t="s">
        <v>96</v>
      </c>
      <c r="C35" s="40" t="s">
        <v>85</v>
      </c>
      <c r="D35" s="177"/>
      <c r="E35" s="290">
        <f>+[2]ModPEF21Gestore!E35</f>
        <v>0</v>
      </c>
      <c r="F35" s="290">
        <f>+[1]ModPEF21Comune!F35</f>
        <v>0</v>
      </c>
      <c r="G35" s="291">
        <f t="shared" si="2"/>
        <v>0</v>
      </c>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2:38" s="166" customFormat="1" ht="20" customHeight="1">
      <c r="B36" s="189" t="s">
        <v>243</v>
      </c>
      <c r="C36" s="40" t="s">
        <v>85</v>
      </c>
      <c r="D36" s="177"/>
      <c r="E36" s="290">
        <f>+[2]ModPEF21Gestore!E36</f>
        <v>60791.820585285226</v>
      </c>
      <c r="F36" s="290">
        <f>+[1]ModPEF21Comune!F36</f>
        <v>0</v>
      </c>
      <c r="G36" s="291">
        <f t="shared" si="2"/>
        <v>60791.820585285226</v>
      </c>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2:38" s="166" customFormat="1" ht="20" customHeight="1">
      <c r="B37" s="189" t="s">
        <v>244</v>
      </c>
      <c r="C37" s="40" t="s">
        <v>85</v>
      </c>
      <c r="D37" s="177"/>
      <c r="E37" s="290">
        <f>+[2]ModPEF21Gestore!E37</f>
        <v>0</v>
      </c>
      <c r="F37" s="290">
        <f>+[1]ModPEF21Comune!F37</f>
        <v>0</v>
      </c>
      <c r="G37" s="291">
        <f t="shared" si="2"/>
        <v>0</v>
      </c>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2:38" s="166" customFormat="1" ht="20" customHeight="1">
      <c r="B38" s="180" t="s">
        <v>245</v>
      </c>
      <c r="C38" s="39" t="s">
        <v>91</v>
      </c>
      <c r="D38" s="177"/>
      <c r="E38" s="292">
        <f>+E37+E36+E31+E30</f>
        <v>130973.70631297442</v>
      </c>
      <c r="F38" s="292">
        <f>+F37+F36+F31+F30</f>
        <v>0</v>
      </c>
      <c r="G38" s="293">
        <f t="shared" si="2"/>
        <v>130973.70631297442</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2:38" s="166" customFormat="1" ht="20" customHeight="1">
      <c r="B39" s="179" t="s">
        <v>246</v>
      </c>
      <c r="C39" s="34" t="s">
        <v>85</v>
      </c>
      <c r="D39" s="177"/>
      <c r="E39" s="419">
        <f>+[2]ModPEF21Gestore!E39</f>
        <v>0</v>
      </c>
      <c r="F39" s="419">
        <f>+[1]ModPEF21Comune!F39</f>
        <v>0</v>
      </c>
      <c r="G39" s="289">
        <f t="shared" si="2"/>
        <v>0</v>
      </c>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2:38" s="166" customFormat="1" ht="20" customHeight="1">
      <c r="B40" s="179" t="s">
        <v>247</v>
      </c>
      <c r="C40" s="181" t="s">
        <v>230</v>
      </c>
      <c r="D40" s="177"/>
      <c r="E40" s="296">
        <f>+[2]ModPEF21Gestore!E40</f>
        <v>-108307.9034776045</v>
      </c>
      <c r="F40" s="296">
        <f>+[1]ModPEF21Comune!F40</f>
        <v>0</v>
      </c>
      <c r="G40" s="289">
        <f t="shared" si="2"/>
        <v>-108307.9034776045</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2:38" s="166" customFormat="1" ht="20" customHeight="1">
      <c r="B41" s="176" t="s">
        <v>248</v>
      </c>
      <c r="C41" s="32" t="s">
        <v>91</v>
      </c>
      <c r="D41" s="177"/>
      <c r="E41" s="297">
        <f>+E$84</f>
        <v>0.5</v>
      </c>
      <c r="F41" s="297">
        <f>+F$84</f>
        <v>0.5</v>
      </c>
      <c r="G41" s="298">
        <f t="shared" ref="G41" si="3">G18</f>
        <v>0</v>
      </c>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row>
    <row r="42" spans="2:38" s="166" customFormat="1" ht="20" customHeight="1">
      <c r="B42" s="176" t="s">
        <v>249</v>
      </c>
      <c r="C42" s="32" t="s">
        <v>91</v>
      </c>
      <c r="D42" s="177"/>
      <c r="E42" s="384">
        <f>Dashboard21!$E$15</f>
        <v>1</v>
      </c>
      <c r="F42" s="384">
        <f>Dashboard21!$E$15</f>
        <v>1</v>
      </c>
      <c r="G42" s="293">
        <f>G19</f>
        <v>0</v>
      </c>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row>
    <row r="43" spans="2:38" s="166" customFormat="1" ht="20" customHeight="1">
      <c r="B43" s="176" t="s">
        <v>250</v>
      </c>
      <c r="C43" s="34" t="s">
        <v>90</v>
      </c>
      <c r="D43" s="177"/>
      <c r="E43" s="298">
        <f>+IF(E42=0,0,E40*E41/E42)</f>
        <v>-54153.95173880225</v>
      </c>
      <c r="F43" s="298">
        <f>+IF(F42=0,0,F40*F41/F42)</f>
        <v>0</v>
      </c>
      <c r="G43" s="299">
        <f t="shared" ref="G43:G47" si="4">E43+F43</f>
        <v>-54153.95173880225</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2:38" s="166" customFormat="1" ht="20" customHeight="1">
      <c r="B44" s="176" t="s">
        <v>92</v>
      </c>
      <c r="C44" s="32" t="s">
        <v>85</v>
      </c>
      <c r="D44" s="177"/>
      <c r="E44" s="283"/>
      <c r="F44" s="279">
        <f>+[1]ModPEF21Comune!F44</f>
        <v>41160.511391999986</v>
      </c>
      <c r="G44" s="289">
        <f>F44</f>
        <v>41160.511391999986</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row>
    <row r="45" spans="2:38" s="166" customFormat="1" ht="20" customHeight="1">
      <c r="B45" s="193" t="s">
        <v>251</v>
      </c>
      <c r="C45" s="31" t="s">
        <v>91</v>
      </c>
      <c r="D45" s="177"/>
      <c r="E45" s="300">
        <f t="shared" ref="E45:F45" si="5">+E24+E29+E38+E39+E43+E44</f>
        <v>406153.4342491721</v>
      </c>
      <c r="F45" s="300">
        <f t="shared" si="5"/>
        <v>41160.511391999986</v>
      </c>
      <c r="G45" s="301">
        <f>E45+F45</f>
        <v>447313.94564117212</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2:38" s="166" customFormat="1" ht="20" customHeight="1">
      <c r="B46" s="176" t="s">
        <v>252</v>
      </c>
      <c r="C46" s="32" t="s">
        <v>90</v>
      </c>
      <c r="D46" s="177"/>
      <c r="E46" s="302"/>
      <c r="F46" s="302"/>
      <c r="G46" s="303">
        <f>+Dashboard21!J12+Dashboard21!K12</f>
        <v>0</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row>
    <row r="47" spans="2:38" s="166" customFormat="1" ht="20" customHeight="1">
      <c r="B47" s="194" t="s">
        <v>253</v>
      </c>
      <c r="C47" s="195" t="s">
        <v>91</v>
      </c>
      <c r="D47" s="177"/>
      <c r="E47" s="300">
        <f t="shared" ref="E47:F47" si="6">+E22+E45-E46</f>
        <v>922872.48858478188</v>
      </c>
      <c r="F47" s="300">
        <f t="shared" si="6"/>
        <v>89046.847889999975</v>
      </c>
      <c r="G47" s="301">
        <f t="shared" si="4"/>
        <v>1011919.3364747819</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2:38" s="166" customFormat="1" ht="20" customHeight="1" thickBot="1">
      <c r="B48" s="196" t="s">
        <v>97</v>
      </c>
      <c r="C48" s="36" t="s">
        <v>90</v>
      </c>
      <c r="D48" s="197"/>
      <c r="E48" s="304"/>
      <c r="F48" s="304"/>
      <c r="G48" s="305">
        <f>+Dashboard21!J26+Dashboard21!K26</f>
        <v>0</v>
      </c>
      <c r="H48" s="165"/>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row>
    <row r="49" spans="2:38" s="166" customFormat="1" ht="20" customHeight="1">
      <c r="B49" s="198"/>
      <c r="C49" s="177"/>
      <c r="D49" s="177"/>
      <c r="E49" s="306"/>
      <c r="F49" s="306"/>
      <c r="G49" s="306"/>
      <c r="H49" s="165"/>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row>
    <row r="50" spans="2:38" s="23" customFormat="1" ht="20" customHeight="1" thickBot="1">
      <c r="B50" s="199" t="s">
        <v>254</v>
      </c>
      <c r="C50" s="200"/>
      <c r="D50" s="200"/>
      <c r="E50" s="307"/>
      <c r="F50" s="307"/>
      <c r="G50" s="308"/>
    </row>
    <row r="51" spans="2:38" s="23" customFormat="1" ht="20" customHeight="1">
      <c r="B51" s="188" t="s">
        <v>255</v>
      </c>
      <c r="C51" s="38" t="s">
        <v>90</v>
      </c>
      <c r="D51" s="197"/>
      <c r="E51" s="417">
        <f>+[2]ModPEF21Gestore!E51</f>
        <v>0</v>
      </c>
      <c r="F51" s="417">
        <f>+[1]ModPEF21Comune!F51</f>
        <v>0</v>
      </c>
      <c r="G51" s="288">
        <f t="shared" ref="G51:G62" si="7">E51+F51</f>
        <v>0</v>
      </c>
    </row>
    <row r="52" spans="2:38" s="23" customFormat="1" ht="20" customHeight="1" thickBot="1">
      <c r="B52" s="201" t="s">
        <v>256</v>
      </c>
      <c r="C52" s="32" t="s">
        <v>90</v>
      </c>
      <c r="D52" s="197"/>
      <c r="E52" s="418">
        <f>+[2]ModPEF21Gestore!E52</f>
        <v>0</v>
      </c>
      <c r="F52" s="418">
        <f>+[1]ModPEF21Comune!F52</f>
        <v>0</v>
      </c>
      <c r="G52" s="289">
        <f t="shared" si="7"/>
        <v>0</v>
      </c>
    </row>
    <row r="53" spans="2:38" s="23" customFormat="1" ht="20" customHeight="1">
      <c r="B53" s="202" t="s">
        <v>257</v>
      </c>
      <c r="C53" s="203" t="s">
        <v>90</v>
      </c>
      <c r="D53" s="197"/>
      <c r="E53" s="391">
        <f>+G53</f>
        <v>1</v>
      </c>
      <c r="F53" s="391">
        <f>+G53</f>
        <v>1</v>
      </c>
      <c r="G53" s="392">
        <f>+Dashboard21!$E$39</f>
        <v>1</v>
      </c>
      <c r="N53" s="165"/>
      <c r="O53" s="165"/>
      <c r="P53" s="165"/>
      <c r="Q53" s="165"/>
      <c r="R53" s="165"/>
      <c r="S53" s="165"/>
      <c r="T53" s="165"/>
      <c r="U53" s="165"/>
      <c r="V53" s="165"/>
      <c r="W53" s="165"/>
    </row>
    <row r="54" spans="2:38" s="23" customFormat="1" ht="20" customHeight="1" thickBot="1">
      <c r="B54" s="204" t="s">
        <v>258</v>
      </c>
      <c r="C54" s="205" t="s">
        <v>90</v>
      </c>
      <c r="D54" s="197"/>
      <c r="E54" s="394">
        <f>+IF($G$47&gt;0,E$47/$G$47*$G54,0)</f>
        <v>0</v>
      </c>
      <c r="F54" s="394">
        <f>+IF($G$47&gt;0,F$47/$G$47*$G54,0)</f>
        <v>0</v>
      </c>
      <c r="G54" s="309">
        <f>+IF(Dashboard21!$E$39&gt;0,Dashboard21!$J$34/Dashboard21!$E$39,0)</f>
        <v>0</v>
      </c>
      <c r="N54" s="165"/>
      <c r="O54" s="165"/>
      <c r="P54" s="165"/>
      <c r="Q54" s="165"/>
      <c r="R54" s="165"/>
      <c r="S54" s="165"/>
      <c r="T54" s="165"/>
      <c r="U54" s="165"/>
      <c r="V54" s="165"/>
      <c r="W54" s="165"/>
    </row>
    <row r="55" spans="2:38" s="23" customFormat="1" ht="20" customHeight="1">
      <c r="B55" s="202" t="s">
        <v>259</v>
      </c>
      <c r="C55" s="206" t="s">
        <v>90</v>
      </c>
      <c r="D55" s="197"/>
      <c r="E55" s="395">
        <f>+IF($G$47&gt;0,E$47/$G$47*$G55,0)</f>
        <v>-8151.4741399314544</v>
      </c>
      <c r="F55" s="395">
        <f>+IF($G$47&gt;0,F$47/$G$47*$G55,0)</f>
        <v>-786.52586006854551</v>
      </c>
      <c r="G55" s="310">
        <f>+Dashboard21!$E$43</f>
        <v>-8938</v>
      </c>
      <c r="N55" s="165"/>
      <c r="O55" s="165"/>
      <c r="P55" s="165"/>
      <c r="Q55" s="165"/>
      <c r="R55" s="165"/>
      <c r="S55" s="165"/>
      <c r="T55" s="165"/>
      <c r="U55" s="165"/>
      <c r="V55" s="165"/>
      <c r="W55" s="165"/>
    </row>
    <row r="56" spans="2:38" s="23" customFormat="1" ht="20" customHeight="1">
      <c r="B56" s="207" t="s">
        <v>260</v>
      </c>
      <c r="C56" s="208" t="s">
        <v>90</v>
      </c>
      <c r="D56" s="197"/>
      <c r="E56" s="393">
        <f>+G56</f>
        <v>3</v>
      </c>
      <c r="F56" s="393">
        <f>+G56</f>
        <v>3</v>
      </c>
      <c r="G56" s="387">
        <f>+Dashboard21!$E$46</f>
        <v>3</v>
      </c>
      <c r="N56" s="165"/>
      <c r="O56" s="165"/>
      <c r="P56" s="165"/>
      <c r="Q56" s="165"/>
      <c r="R56" s="165"/>
      <c r="S56" s="165"/>
      <c r="T56" s="165"/>
      <c r="U56" s="165"/>
      <c r="V56" s="165"/>
      <c r="W56" s="165"/>
    </row>
    <row r="57" spans="2:38" s="23" customFormat="1" ht="20" customHeight="1" thickBot="1">
      <c r="B57" s="204" t="s">
        <v>261</v>
      </c>
      <c r="C57" s="205" t="s">
        <v>90</v>
      </c>
      <c r="D57" s="197"/>
      <c r="E57" s="311">
        <f>+IF(E56&gt;0,E55/E56,0)</f>
        <v>-2717.1580466438181</v>
      </c>
      <c r="F57" s="311">
        <f>+IF(F56&gt;0,F55/F56,0)</f>
        <v>-262.17528668951519</v>
      </c>
      <c r="G57" s="311">
        <f>+IF(G56&gt;0,G55/G56,0)</f>
        <v>-2979.3333333333335</v>
      </c>
      <c r="N57" s="165"/>
      <c r="O57" s="165"/>
      <c r="P57" s="165"/>
      <c r="Q57" s="165"/>
      <c r="R57" s="165"/>
      <c r="S57" s="165"/>
      <c r="T57" s="165"/>
      <c r="U57" s="165"/>
      <c r="V57" s="165"/>
      <c r="W57" s="165"/>
    </row>
    <row r="58" spans="2:38" s="166" customFormat="1" ht="20" customHeight="1">
      <c r="B58" s="209" t="s">
        <v>262</v>
      </c>
      <c r="C58" s="210" t="s">
        <v>90</v>
      </c>
      <c r="D58" s="197"/>
      <c r="E58" s="312">
        <f>+IF(E60&gt;1,E59,0)</f>
        <v>0</v>
      </c>
      <c r="F58" s="312">
        <f>+IF(F60&gt;1,F59,0)</f>
        <v>0</v>
      </c>
      <c r="G58" s="313">
        <f>E58+F58</f>
        <v>0</v>
      </c>
      <c r="H58" s="165"/>
      <c r="I58" s="23"/>
      <c r="J58" s="23"/>
      <c r="K58" s="23"/>
      <c r="L58" s="23"/>
      <c r="M58" s="23"/>
      <c r="N58" s="165"/>
      <c r="O58" s="165"/>
      <c r="P58" s="165"/>
      <c r="Q58" s="165"/>
      <c r="R58" s="165"/>
      <c r="S58" s="165"/>
      <c r="T58" s="165"/>
      <c r="U58" s="165"/>
      <c r="V58" s="165"/>
      <c r="W58" s="165"/>
      <c r="X58" s="23"/>
      <c r="Y58" s="23"/>
      <c r="Z58" s="23"/>
      <c r="AA58" s="23"/>
      <c r="AB58" s="23"/>
      <c r="AC58" s="23"/>
      <c r="AD58" s="23"/>
      <c r="AE58" s="23"/>
      <c r="AF58" s="23"/>
      <c r="AG58" s="23"/>
      <c r="AH58" s="23"/>
      <c r="AI58" s="23"/>
      <c r="AJ58" s="23"/>
      <c r="AK58" s="23"/>
      <c r="AL58" s="23"/>
    </row>
    <row r="59" spans="2:38" s="166" customFormat="1" ht="20" customHeight="1">
      <c r="B59" s="211" t="s">
        <v>263</v>
      </c>
      <c r="C59" s="181" t="s">
        <v>90</v>
      </c>
      <c r="D59" s="197"/>
      <c r="E59" s="314">
        <f>+IF(E60&gt;1,Dashboard21!J36*Dashboard21!J38/E60,0)</f>
        <v>0</v>
      </c>
      <c r="F59" s="314">
        <f>+IF(F60&gt;1,Dashboard21!K36*Dashboard21!K38/F60,0)</f>
        <v>0</v>
      </c>
      <c r="G59" s="298">
        <f>E59+F59</f>
        <v>0</v>
      </c>
      <c r="H59" s="165"/>
      <c r="I59" s="23"/>
      <c r="J59" s="23"/>
      <c r="K59" s="23"/>
      <c r="L59" s="23"/>
      <c r="M59" s="23"/>
      <c r="N59" s="165"/>
      <c r="O59" s="165"/>
      <c r="P59" s="165"/>
      <c r="Q59" s="165"/>
      <c r="R59" s="165"/>
      <c r="S59" s="165"/>
      <c r="T59" s="165"/>
      <c r="U59" s="165"/>
      <c r="V59" s="165"/>
      <c r="W59" s="165"/>
      <c r="X59" s="23"/>
      <c r="Y59" s="23"/>
      <c r="Z59" s="23"/>
      <c r="AA59" s="23"/>
      <c r="AB59" s="23"/>
      <c r="AC59" s="23"/>
      <c r="AD59" s="23"/>
      <c r="AE59" s="23"/>
      <c r="AF59" s="23"/>
      <c r="AG59" s="23"/>
      <c r="AH59" s="23"/>
      <c r="AI59" s="23"/>
      <c r="AJ59" s="23"/>
      <c r="AK59" s="23"/>
      <c r="AL59" s="23"/>
    </row>
    <row r="60" spans="2:38" s="166" customFormat="1" ht="20" customHeight="1" thickBot="1">
      <c r="B60" s="204" t="s">
        <v>264</v>
      </c>
      <c r="C60" s="212" t="s">
        <v>90</v>
      </c>
      <c r="D60" s="197"/>
      <c r="E60" s="388">
        <f>+Dashboard21!J39</f>
        <v>0</v>
      </c>
      <c r="F60" s="388">
        <f>+Dashboard21!K39</f>
        <v>0</v>
      </c>
      <c r="G60" s="389"/>
      <c r="H60" s="165"/>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row>
    <row r="61" spans="2:38" s="216" customFormat="1" ht="39.5" customHeight="1" thickBot="1">
      <c r="B61" s="213" t="s">
        <v>265</v>
      </c>
      <c r="C61" s="214" t="s">
        <v>91</v>
      </c>
      <c r="D61" s="215"/>
      <c r="E61" s="315">
        <f>E22+E51+E52+E54+E57+E58</f>
        <v>514001.89628896595</v>
      </c>
      <c r="F61" s="315">
        <f>F22+F51+F52+F54+F57+F58</f>
        <v>47624.161211310471</v>
      </c>
      <c r="G61" s="315">
        <f>G22+G51+G52+G54+G57+G58</f>
        <v>561626.05750027637</v>
      </c>
      <c r="N61" s="23"/>
    </row>
    <row r="62" spans="2:38" s="23" customFormat="1" ht="20" customHeight="1" thickBot="1">
      <c r="B62" s="217" t="s">
        <v>266</v>
      </c>
      <c r="C62" s="218" t="s">
        <v>90</v>
      </c>
      <c r="D62" s="197"/>
      <c r="E62" s="420">
        <f>+[2]ModPEF21Gestore!E62</f>
        <v>0</v>
      </c>
      <c r="F62" s="420">
        <f>+[1]ModPEF21Comune!F62</f>
        <v>0</v>
      </c>
      <c r="G62" s="316">
        <f t="shared" si="7"/>
        <v>0</v>
      </c>
    </row>
    <row r="63" spans="2:38" s="23" customFormat="1" ht="20" customHeight="1">
      <c r="B63" s="202" t="s">
        <v>267</v>
      </c>
      <c r="C63" s="206" t="s">
        <v>90</v>
      </c>
      <c r="D63" s="197"/>
      <c r="E63" s="395">
        <f>+IF($G$47&gt;0,E$47/$G$47*$G63,0)</f>
        <v>43733.233322010856</v>
      </c>
      <c r="F63" s="395">
        <f>+IF($G$47&gt;0,F$47/$G$47*$G63,0)</f>
        <v>4219.7666779891433</v>
      </c>
      <c r="G63" s="310">
        <f>Dashboard21!$E$44</f>
        <v>47953</v>
      </c>
    </row>
    <row r="64" spans="2:38" s="23" customFormat="1" ht="20" customHeight="1">
      <c r="B64" s="207" t="s">
        <v>260</v>
      </c>
      <c r="C64" s="208" t="s">
        <v>91</v>
      </c>
      <c r="D64" s="197"/>
      <c r="E64" s="385">
        <f>E56</f>
        <v>3</v>
      </c>
      <c r="F64" s="385">
        <f>F56</f>
        <v>3</v>
      </c>
      <c r="G64" s="386">
        <f>G56</f>
        <v>3</v>
      </c>
    </row>
    <row r="65" spans="2:38" s="23" customFormat="1" ht="20" customHeight="1" thickBot="1">
      <c r="B65" s="204" t="s">
        <v>268</v>
      </c>
      <c r="C65" s="205" t="s">
        <v>90</v>
      </c>
      <c r="D65" s="197"/>
      <c r="E65" s="311">
        <f>+IF(E64&gt;0,E63/E64,0)</f>
        <v>14577.744440670285</v>
      </c>
      <c r="F65" s="311">
        <f>+IF(F64&gt;0,F63/F64,0)</f>
        <v>1406.5888926630478</v>
      </c>
      <c r="G65" s="311">
        <f>+IF(G64&gt;0,G63/G64,0)</f>
        <v>15984.333333333334</v>
      </c>
    </row>
    <row r="66" spans="2:38" s="166" customFormat="1" ht="20" customHeight="1">
      <c r="B66" s="219" t="s">
        <v>269</v>
      </c>
      <c r="C66" s="220" t="s">
        <v>90</v>
      </c>
      <c r="D66" s="197"/>
      <c r="E66" s="312">
        <f>+IF(E68&gt;1,E67,0)</f>
        <v>0</v>
      </c>
      <c r="F66" s="312">
        <f>+IF(F68&gt;1,F67,0)</f>
        <v>0</v>
      </c>
      <c r="G66" s="317">
        <f>E66+F66</f>
        <v>0</v>
      </c>
      <c r="H66" s="165"/>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2:38" s="166" customFormat="1" ht="20" customHeight="1">
      <c r="B67" s="211" t="s">
        <v>270</v>
      </c>
      <c r="C67" s="181" t="s">
        <v>90</v>
      </c>
      <c r="D67" s="197"/>
      <c r="E67" s="314">
        <f>+IF(E68&gt;1,Dashboard21!J37*Dashboard21!J38/E68,0)</f>
        <v>0</v>
      </c>
      <c r="F67" s="314">
        <f>+IF(F68&gt;1,Dashboard21!K37*Dashboard21!K38/F68,0)</f>
        <v>0</v>
      </c>
      <c r="G67" s="298">
        <f>E67+F67</f>
        <v>0</v>
      </c>
      <c r="H67" s="165"/>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row>
    <row r="68" spans="2:38" s="166" customFormat="1" ht="20" customHeight="1" thickBot="1">
      <c r="B68" s="204" t="s">
        <v>271</v>
      </c>
      <c r="C68" s="205" t="s">
        <v>91</v>
      </c>
      <c r="D68" s="197"/>
      <c r="E68" s="390">
        <f>E60</f>
        <v>0</v>
      </c>
      <c r="F68" s="390">
        <f>F60</f>
        <v>0</v>
      </c>
      <c r="G68" s="390">
        <f>G60</f>
        <v>0</v>
      </c>
      <c r="H68" s="165"/>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row>
    <row r="69" spans="2:38" s="166" customFormat="1" ht="39.5" customHeight="1">
      <c r="B69" s="221" t="s">
        <v>272</v>
      </c>
      <c r="C69" s="222" t="s">
        <v>91</v>
      </c>
      <c r="D69" s="177"/>
      <c r="E69" s="318">
        <f>E45+E62+E65+E66</f>
        <v>420731.1786898424</v>
      </c>
      <c r="F69" s="318">
        <f>F45+F62+F65+F66</f>
        <v>42567.100284663036</v>
      </c>
      <c r="G69" s="319">
        <f>G45+G62+G65+G66</f>
        <v>463298.27897450543</v>
      </c>
      <c r="H69" s="165"/>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row>
    <row r="70" spans="2:38" s="166" customFormat="1" ht="39.5" customHeight="1" thickBot="1">
      <c r="B70" s="185" t="s">
        <v>273</v>
      </c>
      <c r="C70" s="28" t="s">
        <v>91</v>
      </c>
      <c r="D70" s="177"/>
      <c r="E70" s="284">
        <f>E61+E69-E46</f>
        <v>934733.07497880841</v>
      </c>
      <c r="F70" s="284">
        <f>F61+F69-F46</f>
        <v>90191.261495973507</v>
      </c>
      <c r="G70" s="284">
        <f>G61+G69-G46</f>
        <v>1024924.3364747819</v>
      </c>
      <c r="H70" s="165"/>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2:38" s="23" customFormat="1" ht="20" customHeight="1">
      <c r="B71" s="198"/>
      <c r="C71" s="223"/>
      <c r="D71" s="177"/>
      <c r="E71" s="320"/>
      <c r="F71" s="320"/>
      <c r="G71" s="321"/>
    </row>
    <row r="72" spans="2:38" s="23" customFormat="1" ht="20" customHeight="1" thickBot="1">
      <c r="B72" s="224" t="s">
        <v>98</v>
      </c>
      <c r="C72" s="200"/>
      <c r="D72" s="200"/>
      <c r="E72" s="307"/>
      <c r="F72" s="307"/>
      <c r="G72" s="322"/>
    </row>
    <row r="73" spans="2:38" s="23" customFormat="1" ht="20" customHeight="1">
      <c r="B73" s="225" t="s">
        <v>274</v>
      </c>
      <c r="C73" s="35" t="s">
        <v>85</v>
      </c>
      <c r="D73" s="177"/>
      <c r="E73" s="323"/>
      <c r="F73" s="324"/>
      <c r="G73" s="147">
        <f>+[1]Previsionali!$G$24/100</f>
        <v>0.81</v>
      </c>
    </row>
    <row r="74" spans="2:38" s="23" customFormat="1" ht="20" customHeight="1">
      <c r="B74" s="226" t="s">
        <v>275</v>
      </c>
      <c r="C74" s="34" t="s">
        <v>85</v>
      </c>
      <c r="D74" s="177"/>
      <c r="E74" s="325"/>
      <c r="F74" s="326"/>
      <c r="G74" s="327">
        <f>Previsionali!$G$23</f>
        <v>4930</v>
      </c>
    </row>
    <row r="75" spans="2:38" s="23" customFormat="1" ht="20" customHeight="1">
      <c r="B75" s="227" t="s">
        <v>276</v>
      </c>
      <c r="C75" s="34" t="s">
        <v>85</v>
      </c>
      <c r="D75" s="177"/>
      <c r="E75" s="328"/>
      <c r="F75" s="329"/>
      <c r="G75" s="330">
        <f>+Dashboard21!E19</f>
        <v>207.89540293606123</v>
      </c>
    </row>
    <row r="76" spans="2:38" s="23" customFormat="1" ht="20" customHeight="1">
      <c r="B76" s="227" t="s">
        <v>277</v>
      </c>
      <c r="C76" s="34" t="s">
        <v>90</v>
      </c>
      <c r="D76" s="177"/>
      <c r="E76" s="283"/>
      <c r="F76" s="331"/>
      <c r="G76" s="332">
        <f>+Dashboard21!E18</f>
        <v>218</v>
      </c>
    </row>
    <row r="77" spans="2:38" s="23" customFormat="1" ht="20" customHeight="1" thickBot="1">
      <c r="B77" s="228" t="s">
        <v>278</v>
      </c>
      <c r="C77" s="36" t="s">
        <v>90</v>
      </c>
      <c r="D77" s="177"/>
      <c r="E77" s="333"/>
      <c r="F77" s="334"/>
      <c r="G77" s="335"/>
    </row>
    <row r="78" spans="2:38" s="23" customFormat="1" ht="20" customHeight="1">
      <c r="B78" s="198"/>
      <c r="C78" s="177"/>
      <c r="D78" s="177"/>
      <c r="E78" s="320"/>
      <c r="F78" s="320"/>
      <c r="G78" s="321"/>
    </row>
    <row r="79" spans="2:38" s="23" customFormat="1" ht="20" customHeight="1" thickBot="1">
      <c r="B79" s="224" t="s">
        <v>99</v>
      </c>
      <c r="C79" s="200"/>
      <c r="D79" s="200"/>
      <c r="E79" s="307"/>
      <c r="F79" s="307"/>
      <c r="G79" s="321"/>
    </row>
    <row r="80" spans="2:38" s="23" customFormat="1" ht="20" customHeight="1">
      <c r="B80" s="225" t="s">
        <v>279</v>
      </c>
      <c r="C80" s="35" t="s">
        <v>90</v>
      </c>
      <c r="D80" s="229"/>
      <c r="E80" s="336">
        <f>Dashboard21!E12</f>
        <v>-0.25</v>
      </c>
      <c r="F80" s="337">
        <f>Dashboard21!E12</f>
        <v>-0.25</v>
      </c>
      <c r="G80" s="338">
        <f>Dashboard21!E12</f>
        <v>-0.25</v>
      </c>
    </row>
    <row r="81" spans="2:38" s="23" customFormat="1" ht="20" customHeight="1">
      <c r="B81" s="227" t="s">
        <v>280</v>
      </c>
      <c r="C81" s="34" t="s">
        <v>90</v>
      </c>
      <c r="D81" s="229"/>
      <c r="E81" s="339">
        <f>Dashboard21!E13</f>
        <v>-0.2</v>
      </c>
      <c r="F81" s="340">
        <f>Dashboard21!E13</f>
        <v>-0.2</v>
      </c>
      <c r="G81" s="341">
        <f>Dashboard21!E13</f>
        <v>-0.2</v>
      </c>
    </row>
    <row r="82" spans="2:38" s="23" customFormat="1" ht="20" customHeight="1">
      <c r="B82" s="227" t="s">
        <v>281</v>
      </c>
      <c r="C82" s="34" t="s">
        <v>90</v>
      </c>
      <c r="D82" s="229"/>
      <c r="E82" s="339">
        <f>Dashboard21!E14</f>
        <v>-0.05</v>
      </c>
      <c r="F82" s="342">
        <f>Dashboard21!E14</f>
        <v>-0.05</v>
      </c>
      <c r="G82" s="341">
        <f>Dashboard21!E14</f>
        <v>-0.05</v>
      </c>
    </row>
    <row r="83" spans="2:38" s="23" customFormat="1" ht="20" customHeight="1" thickBot="1">
      <c r="B83" s="230" t="s">
        <v>282</v>
      </c>
      <c r="C83" s="28" t="s">
        <v>91</v>
      </c>
      <c r="D83" s="229"/>
      <c r="E83" s="343">
        <f>SUM(E80:E82)</f>
        <v>-0.5</v>
      </c>
      <c r="F83" s="344">
        <f>SUM(F80:F82)</f>
        <v>-0.5</v>
      </c>
      <c r="G83" s="344">
        <f>SUM(G80:G82)</f>
        <v>-0.5</v>
      </c>
    </row>
    <row r="84" spans="2:38" s="23" customFormat="1" ht="20" customHeight="1" thickBot="1">
      <c r="B84" s="230" t="s">
        <v>283</v>
      </c>
      <c r="C84" s="28" t="s">
        <v>91</v>
      </c>
      <c r="D84" s="229"/>
      <c r="E84" s="345">
        <f>1+E83</f>
        <v>0.5</v>
      </c>
      <c r="F84" s="346">
        <f>1+F83</f>
        <v>0.5</v>
      </c>
      <c r="G84" s="346">
        <f>1+G83</f>
        <v>0.5</v>
      </c>
    </row>
    <row r="85" spans="2:38" s="166" customFormat="1" ht="20" customHeight="1">
      <c r="B85" s="186"/>
      <c r="C85" s="187"/>
      <c r="D85" s="187"/>
      <c r="E85" s="285"/>
      <c r="F85" s="285"/>
      <c r="G85" s="286"/>
      <c r="H85" s="165"/>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2:38" s="166" customFormat="1" ht="20" customHeight="1" thickBot="1">
      <c r="B86" s="224" t="s">
        <v>100</v>
      </c>
      <c r="C86" s="200"/>
      <c r="D86" s="200"/>
      <c r="E86" s="347"/>
      <c r="F86" s="307"/>
      <c r="G86" s="321"/>
      <c r="H86" s="165"/>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row>
    <row r="87" spans="2:38" s="166" customFormat="1" ht="20" customHeight="1">
      <c r="B87" s="231" t="s">
        <v>101</v>
      </c>
      <c r="C87" s="33" t="s">
        <v>102</v>
      </c>
      <c r="E87" s="348"/>
      <c r="F87" s="348"/>
      <c r="G87" s="396">
        <v>1.7000000000000001E-2</v>
      </c>
      <c r="H87" s="165"/>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row>
    <row r="88" spans="2:38" s="166" customFormat="1" ht="20" customHeight="1">
      <c r="B88" s="232" t="s">
        <v>284</v>
      </c>
      <c r="C88" s="32" t="s">
        <v>90</v>
      </c>
      <c r="D88" s="177"/>
      <c r="E88" s="349"/>
      <c r="F88" s="349"/>
      <c r="G88" s="397">
        <f>Dashboard21!E24</f>
        <v>1E-3</v>
      </c>
      <c r="H88" s="165"/>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row>
    <row r="89" spans="2:38" s="166" customFormat="1" ht="20" customHeight="1">
      <c r="B89" s="232" t="s">
        <v>285</v>
      </c>
      <c r="C89" s="32" t="s">
        <v>90</v>
      </c>
      <c r="D89" s="177"/>
      <c r="E89" s="350"/>
      <c r="F89" s="350"/>
      <c r="G89" s="397">
        <f>Dashboard21!E25</f>
        <v>0</v>
      </c>
      <c r="H89" s="165"/>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2:38" s="166" customFormat="1" ht="20" customHeight="1">
      <c r="B90" s="232" t="s">
        <v>286</v>
      </c>
      <c r="C90" s="32" t="s">
        <v>90</v>
      </c>
      <c r="D90" s="177"/>
      <c r="E90" s="350"/>
      <c r="F90" s="350"/>
      <c r="G90" s="397">
        <f>Dashboard21!E26</f>
        <v>0</v>
      </c>
      <c r="H90" s="165"/>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row>
    <row r="91" spans="2:38" s="166" customFormat="1" ht="20" customHeight="1">
      <c r="B91" s="232" t="s">
        <v>287</v>
      </c>
      <c r="C91" s="32" t="s">
        <v>90</v>
      </c>
      <c r="D91" s="177"/>
      <c r="E91" s="350"/>
      <c r="F91" s="350"/>
      <c r="G91" s="397">
        <f>Dashboard21!E27</f>
        <v>0</v>
      </c>
      <c r="H91" s="165"/>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2:38" s="166" customFormat="1" ht="20" customHeight="1">
      <c r="B92" s="233" t="s">
        <v>288</v>
      </c>
      <c r="C92" s="31" t="s">
        <v>91</v>
      </c>
      <c r="D92" s="177"/>
      <c r="E92" s="350"/>
      <c r="F92" s="350"/>
      <c r="G92" s="398">
        <f>G87-G88+G89+G90+G91</f>
        <v>1.6E-2</v>
      </c>
      <c r="H92" s="165"/>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2:38" s="166" customFormat="1" ht="20" customHeight="1">
      <c r="B93" s="234" t="s">
        <v>289</v>
      </c>
      <c r="C93" s="31" t="s">
        <v>91</v>
      </c>
      <c r="D93" s="177"/>
      <c r="E93" s="350"/>
      <c r="F93" s="350"/>
      <c r="G93" s="351">
        <f>(1+G92)</f>
        <v>1.016</v>
      </c>
      <c r="H93" s="165"/>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row>
    <row r="94" spans="2:38" s="166" customFormat="1" ht="20" customHeight="1">
      <c r="B94" s="235" t="s">
        <v>290</v>
      </c>
      <c r="C94" s="29" t="s">
        <v>91</v>
      </c>
      <c r="D94" s="187"/>
      <c r="E94" s="350"/>
      <c r="F94" s="350"/>
      <c r="G94" s="352">
        <f>G70</f>
        <v>1024924.3364747819</v>
      </c>
      <c r="H94" s="165"/>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row>
    <row r="95" spans="2:38" s="166" customFormat="1" ht="20" customHeight="1">
      <c r="B95" s="236" t="s">
        <v>291</v>
      </c>
      <c r="C95" s="30" t="s">
        <v>90</v>
      </c>
      <c r="D95" s="187"/>
      <c r="E95" s="350"/>
      <c r="F95" s="350"/>
      <c r="G95" s="332">
        <f>+Previsionali!F12</f>
        <v>377481</v>
      </c>
      <c r="H95" s="165"/>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row>
    <row r="96" spans="2:38" s="166" customFormat="1" ht="20" customHeight="1">
      <c r="B96" s="236" t="s">
        <v>292</v>
      </c>
      <c r="C96" s="30" t="s">
        <v>90</v>
      </c>
      <c r="D96" s="187"/>
      <c r="E96" s="350"/>
      <c r="F96" s="350"/>
      <c r="G96" s="332">
        <f>+Previsionali!F11</f>
        <v>590410</v>
      </c>
      <c r="H96" s="165"/>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row>
    <row r="97" spans="2:38" s="166" customFormat="1" ht="20" customHeight="1" thickBot="1">
      <c r="B97" s="235" t="s">
        <v>293</v>
      </c>
      <c r="C97" s="29" t="s">
        <v>91</v>
      </c>
      <c r="E97" s="350"/>
      <c r="F97" s="350"/>
      <c r="G97" s="353">
        <f>G95+G96</f>
        <v>967891</v>
      </c>
      <c r="H97" s="165"/>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row>
    <row r="98" spans="2:38" s="166" customFormat="1" ht="20" customHeight="1" thickBot="1">
      <c r="B98" s="230" t="s">
        <v>294</v>
      </c>
      <c r="C98" s="28" t="s">
        <v>91</v>
      </c>
      <c r="D98" s="177"/>
      <c r="E98" s="354"/>
      <c r="F98" s="354"/>
      <c r="G98" s="353">
        <f>IF(G97&gt;0,G94/G97,0)</f>
        <v>1.058925371219261</v>
      </c>
      <c r="H98" s="165"/>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row>
    <row r="99" spans="2:38" s="23" customFormat="1" ht="20" customHeight="1" thickBot="1">
      <c r="B99" s="186"/>
      <c r="C99" s="187"/>
      <c r="D99" s="187"/>
      <c r="E99" s="355"/>
      <c r="F99" s="355"/>
      <c r="G99" s="356"/>
      <c r="H99" s="165"/>
    </row>
    <row r="100" spans="2:38" s="23" customFormat="1" ht="20" customHeight="1">
      <c r="B100" s="237" t="s">
        <v>295</v>
      </c>
      <c r="C100" s="27" t="s">
        <v>91</v>
      </c>
      <c r="D100" s="238"/>
      <c r="E100" s="324"/>
      <c r="F100" s="324"/>
      <c r="G100" s="357">
        <f>IF(G94&lt;=G97*G93,G94,G97*G93)</f>
        <v>983377.25600000005</v>
      </c>
      <c r="H100" s="165"/>
      <c r="N100" s="148"/>
    </row>
    <row r="101" spans="2:38" s="23" customFormat="1" ht="20" customHeight="1" thickBot="1">
      <c r="B101" s="239" t="s">
        <v>296</v>
      </c>
      <c r="C101" s="26" t="s">
        <v>91</v>
      </c>
      <c r="D101" s="240"/>
      <c r="E101" s="334"/>
      <c r="F101" s="334"/>
      <c r="G101" s="358">
        <f>IF(G98&lt;=G93,0,G94-G100)</f>
        <v>41547.080474781804</v>
      </c>
      <c r="H101" s="165"/>
    </row>
    <row r="102" spans="2:38" s="23" customFormat="1" ht="20" customHeight="1">
      <c r="B102" s="186"/>
      <c r="E102" s="359"/>
      <c r="F102" s="359"/>
      <c r="G102" s="321"/>
      <c r="H102" s="165"/>
    </row>
    <row r="103" spans="2:38" s="166" customFormat="1" ht="20" customHeight="1" thickBot="1">
      <c r="B103" s="224" t="s">
        <v>115</v>
      </c>
      <c r="C103" s="200"/>
      <c r="D103" s="200"/>
      <c r="E103" s="347"/>
      <c r="F103" s="307"/>
      <c r="G103" s="321"/>
      <c r="H103" s="165"/>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2:38" s="23" customFormat="1" ht="20" customHeight="1">
      <c r="B104" s="241" t="s">
        <v>297</v>
      </c>
      <c r="C104" s="25" t="s">
        <v>90</v>
      </c>
      <c r="D104" s="242"/>
      <c r="E104" s="324"/>
      <c r="F104" s="324"/>
      <c r="G104" s="360">
        <f>Dashboard21!$J$22</f>
        <v>452977.2</v>
      </c>
      <c r="H104" s="165"/>
      <c r="I104" s="148"/>
    </row>
    <row r="105" spans="2:38" s="23" customFormat="1" ht="20" customHeight="1" thickBot="1">
      <c r="B105" s="243" t="s">
        <v>298</v>
      </c>
      <c r="C105" s="24" t="s">
        <v>90</v>
      </c>
      <c r="D105" s="240"/>
      <c r="E105" s="334"/>
      <c r="F105" s="334"/>
      <c r="G105" s="361">
        <f>+G100-G104</f>
        <v>530400.0560000001</v>
      </c>
      <c r="H105" s="165"/>
      <c r="I105" s="148"/>
    </row>
    <row r="106" spans="2:38" s="23" customFormat="1" ht="20" customHeight="1" thickBot="1">
      <c r="B106" s="244"/>
      <c r="C106" s="244"/>
      <c r="D106" s="244"/>
      <c r="E106" s="362"/>
      <c r="F106" s="362"/>
      <c r="G106" s="362"/>
      <c r="H106" s="165"/>
    </row>
    <row r="107" spans="2:38" s="165" customFormat="1" ht="25.5" customHeight="1" thickBot="1">
      <c r="B107" s="245" t="s">
        <v>103</v>
      </c>
      <c r="C107" s="22" t="s">
        <v>85</v>
      </c>
      <c r="D107" s="246"/>
      <c r="E107" s="363"/>
      <c r="F107" s="363"/>
      <c r="G107" s="364">
        <f>+Dashboard21!J27+Dashboard21!K27</f>
        <v>0</v>
      </c>
      <c r="N107" s="23"/>
    </row>
    <row r="108" spans="2:38" s="23" customFormat="1">
      <c r="E108" s="359"/>
      <c r="F108" s="359"/>
      <c r="G108" s="359"/>
      <c r="H108" s="165"/>
    </row>
    <row r="109" spans="2:38" s="166" customFormat="1" ht="20" customHeight="1" thickBot="1">
      <c r="B109" s="247" t="s">
        <v>299</v>
      </c>
      <c r="C109" s="200"/>
      <c r="D109" s="200"/>
      <c r="E109" s="347"/>
      <c r="F109" s="307"/>
      <c r="G109" s="365"/>
      <c r="H109" s="165"/>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row>
    <row r="110" spans="2:38" s="23" customFormat="1" ht="20" customHeight="1" thickBot="1">
      <c r="B110" s="248" t="s">
        <v>300</v>
      </c>
      <c r="C110" s="249" t="s">
        <v>91</v>
      </c>
      <c r="D110" s="250"/>
      <c r="E110" s="366">
        <f>MAX(0,E60-2)*(E67+E59)</f>
        <v>0</v>
      </c>
      <c r="F110" s="366">
        <f>MAX(0,F60-2)*(F67+F59)</f>
        <v>0</v>
      </c>
      <c r="G110" s="367">
        <f t="shared" ref="G110:G113" si="8">E110+F110</f>
        <v>0</v>
      </c>
      <c r="H110" s="165"/>
      <c r="I110" s="148"/>
    </row>
    <row r="111" spans="2:38" s="23" customFormat="1" ht="20" customHeight="1">
      <c r="B111" s="251" t="s">
        <v>301</v>
      </c>
      <c r="C111" s="252" t="s">
        <v>91</v>
      </c>
      <c r="D111" s="253"/>
      <c r="E111" s="368">
        <f>E112+E113</f>
        <v>0</v>
      </c>
      <c r="F111" s="368">
        <f>F112+F113</f>
        <v>0</v>
      </c>
      <c r="G111" s="369">
        <f t="shared" si="8"/>
        <v>0</v>
      </c>
      <c r="H111" s="165"/>
      <c r="I111" s="148"/>
      <c r="J111" s="254"/>
    </row>
    <row r="112" spans="2:38" s="23" customFormat="1" ht="20" customHeight="1">
      <c r="B112" s="255" t="s">
        <v>302</v>
      </c>
      <c r="C112" s="256" t="s">
        <v>91</v>
      </c>
      <c r="D112" s="253"/>
      <c r="E112" s="370">
        <f>E120*E20</f>
        <v>0</v>
      </c>
      <c r="F112" s="370">
        <f>F120*F20</f>
        <v>0</v>
      </c>
      <c r="G112" s="371">
        <f t="shared" si="8"/>
        <v>0</v>
      </c>
      <c r="H112" s="165"/>
      <c r="I112" s="148"/>
    </row>
    <row r="113" spans="2:14" s="23" customFormat="1" ht="20" customHeight="1" thickBot="1">
      <c r="B113" s="257" t="s">
        <v>303</v>
      </c>
      <c r="C113" s="258" t="s">
        <v>91</v>
      </c>
      <c r="D113" s="253"/>
      <c r="E113" s="372">
        <f>E120*E43</f>
        <v>0</v>
      </c>
      <c r="F113" s="372">
        <f>F120*F43</f>
        <v>0</v>
      </c>
      <c r="G113" s="373">
        <f t="shared" si="8"/>
        <v>0</v>
      </c>
      <c r="H113" s="165"/>
      <c r="I113" s="148"/>
    </row>
    <row r="114" spans="2:14" s="23" customFormat="1" ht="20" customHeight="1" thickBot="1">
      <c r="B114" s="259" t="s">
        <v>304</v>
      </c>
      <c r="C114" s="249" t="s">
        <v>91</v>
      </c>
      <c r="D114" s="260"/>
      <c r="E114" s="374">
        <f>MAX(0,E53-1)*E54</f>
        <v>0</v>
      </c>
      <c r="F114" s="374">
        <f>MAX(0,F53-1)*F54</f>
        <v>0</v>
      </c>
      <c r="G114" s="375">
        <f>MAX(0,G53-1)*G54</f>
        <v>0</v>
      </c>
      <c r="H114" s="165"/>
      <c r="I114" s="148"/>
    </row>
    <row r="115" spans="2:14" s="23" customFormat="1" ht="20" customHeight="1" thickBot="1">
      <c r="B115" s="261" t="s">
        <v>305</v>
      </c>
      <c r="C115" s="262" t="s">
        <v>91</v>
      </c>
      <c r="D115" s="263"/>
      <c r="E115" s="376">
        <f>(E55-E57)+(E63-E65)</f>
        <v>23721.172788052936</v>
      </c>
      <c r="F115" s="376">
        <f>(F55-F57)+(F63-F65)</f>
        <v>2288.8272119470653</v>
      </c>
      <c r="G115" s="375">
        <f>(G55-G57)+(G63-G65)</f>
        <v>26010</v>
      </c>
      <c r="H115" s="165"/>
      <c r="I115" s="148"/>
    </row>
    <row r="116" spans="2:14" s="23" customFormat="1">
      <c r="E116" s="359"/>
      <c r="F116" s="359"/>
      <c r="G116" s="359"/>
      <c r="H116" s="165"/>
      <c r="N116" s="165"/>
    </row>
    <row r="117" spans="2:14" s="23" customFormat="1">
      <c r="E117" s="359"/>
      <c r="F117" s="359"/>
      <c r="G117" s="359"/>
      <c r="H117" s="165"/>
      <c r="N117" s="165"/>
    </row>
    <row r="118" spans="2:14" s="23" customFormat="1" hidden="1">
      <c r="E118" s="359"/>
      <c r="F118" s="359"/>
      <c r="G118" s="377"/>
      <c r="H118" s="165"/>
    </row>
    <row r="119" spans="2:14" s="23" customFormat="1" hidden="1">
      <c r="B119" s="264" t="s">
        <v>306</v>
      </c>
      <c r="C119" s="265" t="s">
        <v>91</v>
      </c>
      <c r="D119" s="253"/>
      <c r="E119" s="378">
        <f>E17+E40</f>
        <v>-49185.429318604642</v>
      </c>
      <c r="F119" s="378">
        <f>F17+F40</f>
        <v>0</v>
      </c>
      <c r="G119" s="379">
        <f>E119+F119</f>
        <v>-49185.429318604642</v>
      </c>
      <c r="H119" s="165"/>
      <c r="I119" s="148"/>
    </row>
    <row r="120" spans="2:14" s="23" customFormat="1" hidden="1">
      <c r="B120" s="266" t="s">
        <v>307</v>
      </c>
      <c r="C120" s="267" t="s">
        <v>91</v>
      </c>
      <c r="D120" s="253"/>
      <c r="E120" s="380">
        <f>MAX(0,E19-1)</f>
        <v>0</v>
      </c>
      <c r="F120" s="380">
        <f>MAX(0,F19-1)</f>
        <v>0</v>
      </c>
      <c r="G120" s="381">
        <f>MAX(0,G19-1)</f>
        <v>0</v>
      </c>
      <c r="H120" s="165"/>
      <c r="I120" s="148"/>
    </row>
    <row r="121" spans="2:14" s="23" customFormat="1" hidden="1">
      <c r="E121" s="359"/>
      <c r="F121" s="359"/>
      <c r="G121" s="359"/>
      <c r="H121" s="165"/>
    </row>
    <row r="122" spans="2:14" s="23" customFormat="1" hidden="1">
      <c r="E122" s="359"/>
      <c r="F122" s="359"/>
      <c r="G122" s="359"/>
      <c r="H122" s="165"/>
    </row>
    <row r="123" spans="2:14" s="23" customFormat="1">
      <c r="E123" s="359"/>
      <c r="F123" s="359"/>
      <c r="G123" s="359"/>
      <c r="H123" s="165"/>
    </row>
    <row r="124" spans="2:14" s="23" customFormat="1">
      <c r="E124" s="359"/>
      <c r="F124" s="359"/>
      <c r="G124" s="359"/>
      <c r="H124" s="165"/>
    </row>
    <row r="125" spans="2:14" s="23" customFormat="1">
      <c r="E125" s="359"/>
      <c r="F125" s="359"/>
      <c r="G125" s="359"/>
      <c r="H125" s="165"/>
    </row>
    <row r="126" spans="2:14" s="23" customFormat="1">
      <c r="E126" s="359"/>
      <c r="F126" s="359"/>
      <c r="G126" s="359"/>
      <c r="H126" s="165"/>
    </row>
    <row r="127" spans="2:14" s="23" customFormat="1">
      <c r="E127" s="359"/>
      <c r="F127" s="359"/>
      <c r="G127" s="359"/>
      <c r="H127" s="165"/>
    </row>
    <row r="128" spans="2:14" s="23" customFormat="1">
      <c r="E128" s="359"/>
      <c r="F128" s="359"/>
      <c r="G128" s="359"/>
      <c r="H128" s="165"/>
    </row>
    <row r="129" spans="5:8" s="23" customFormat="1">
      <c r="E129" s="359"/>
      <c r="F129" s="359"/>
      <c r="G129" s="359"/>
      <c r="H129" s="165"/>
    </row>
    <row r="130" spans="5:8" s="23" customFormat="1">
      <c r="E130" s="359"/>
      <c r="F130" s="359"/>
      <c r="G130" s="359"/>
      <c r="H130" s="165"/>
    </row>
    <row r="131" spans="5:8" s="23" customFormat="1">
      <c r="E131" s="359"/>
      <c r="F131" s="359"/>
      <c r="G131" s="359"/>
      <c r="H131" s="165"/>
    </row>
    <row r="132" spans="5:8" s="23" customFormat="1">
      <c r="E132" s="359"/>
      <c r="F132" s="359"/>
      <c r="G132" s="359"/>
      <c r="H132" s="165"/>
    </row>
    <row r="133" spans="5:8" s="23" customFormat="1">
      <c r="E133" s="359"/>
      <c r="F133" s="359"/>
      <c r="G133" s="359"/>
      <c r="H133" s="165"/>
    </row>
    <row r="134" spans="5:8" s="23" customFormat="1">
      <c r="E134" s="359"/>
      <c r="F134" s="359"/>
      <c r="G134" s="359"/>
      <c r="H134" s="165"/>
    </row>
    <row r="135" spans="5:8" s="23" customFormat="1">
      <c r="E135" s="359"/>
      <c r="F135" s="359"/>
      <c r="G135" s="359"/>
      <c r="H135" s="165"/>
    </row>
    <row r="136" spans="5:8" s="23" customFormat="1">
      <c r="E136" s="359"/>
      <c r="F136" s="359"/>
      <c r="G136" s="359"/>
      <c r="H136" s="165"/>
    </row>
    <row r="137" spans="5:8" s="23" customFormat="1">
      <c r="E137" s="359"/>
      <c r="F137" s="359"/>
      <c r="G137" s="359"/>
      <c r="H137" s="165"/>
    </row>
    <row r="138" spans="5:8" s="23" customFormat="1">
      <c r="E138" s="359"/>
      <c r="F138" s="359"/>
      <c r="G138" s="359"/>
      <c r="H138" s="165"/>
    </row>
    <row r="139" spans="5:8" s="23" customFormat="1">
      <c r="E139" s="359"/>
      <c r="F139" s="359"/>
      <c r="G139" s="359"/>
      <c r="H139" s="165"/>
    </row>
    <row r="140" spans="5:8" s="23" customFormat="1">
      <c r="E140" s="359"/>
      <c r="F140" s="359"/>
      <c r="G140" s="359"/>
      <c r="H140" s="165"/>
    </row>
    <row r="141" spans="5:8" s="23" customFormat="1">
      <c r="E141" s="359"/>
      <c r="F141" s="359"/>
      <c r="G141" s="359"/>
      <c r="H141" s="165"/>
    </row>
    <row r="142" spans="5:8" s="23" customFormat="1">
      <c r="E142" s="359"/>
      <c r="F142" s="359"/>
      <c r="G142" s="359"/>
      <c r="H142" s="165"/>
    </row>
    <row r="143" spans="5:8" s="23" customFormat="1">
      <c r="E143" s="359"/>
      <c r="F143" s="359"/>
      <c r="G143" s="359"/>
      <c r="H143" s="165"/>
    </row>
    <row r="144" spans="5:8" s="23" customFormat="1">
      <c r="E144" s="359"/>
      <c r="F144" s="359"/>
      <c r="G144" s="359"/>
      <c r="H144" s="165"/>
    </row>
    <row r="145" spans="5:8" s="23" customFormat="1">
      <c r="E145" s="359"/>
      <c r="F145" s="359"/>
      <c r="G145" s="359"/>
      <c r="H145" s="165"/>
    </row>
    <row r="146" spans="5:8" s="23" customFormat="1">
      <c r="E146" s="359"/>
      <c r="F146" s="359"/>
      <c r="G146" s="359"/>
      <c r="H146" s="165"/>
    </row>
    <row r="147" spans="5:8" s="23" customFormat="1">
      <c r="E147" s="359"/>
      <c r="F147" s="359"/>
      <c r="G147" s="359"/>
      <c r="H147" s="165"/>
    </row>
    <row r="148" spans="5:8" s="23" customFormat="1">
      <c r="E148" s="359"/>
      <c r="F148" s="359"/>
      <c r="G148" s="359"/>
      <c r="H148" s="165"/>
    </row>
    <row r="149" spans="5:8" s="23" customFormat="1">
      <c r="E149" s="359"/>
      <c r="F149" s="359"/>
      <c r="G149" s="359"/>
      <c r="H149" s="165"/>
    </row>
    <row r="150" spans="5:8" s="23" customFormat="1">
      <c r="E150" s="359"/>
      <c r="F150" s="359"/>
      <c r="G150" s="359"/>
      <c r="H150" s="165"/>
    </row>
    <row r="151" spans="5:8" s="23" customFormat="1">
      <c r="E151" s="359"/>
      <c r="F151" s="359"/>
      <c r="G151" s="359"/>
      <c r="H151" s="165"/>
    </row>
    <row r="152" spans="5:8" s="23" customFormat="1">
      <c r="E152" s="359"/>
      <c r="F152" s="359"/>
      <c r="G152" s="359"/>
      <c r="H152" s="165"/>
    </row>
    <row r="153" spans="5:8" s="23" customFormat="1">
      <c r="E153" s="359"/>
      <c r="F153" s="359"/>
      <c r="G153" s="359"/>
      <c r="H153" s="165"/>
    </row>
    <row r="154" spans="5:8" s="23" customFormat="1">
      <c r="E154" s="359"/>
      <c r="F154" s="359"/>
      <c r="G154" s="359"/>
      <c r="H154" s="165"/>
    </row>
    <row r="155" spans="5:8" s="23" customFormat="1">
      <c r="E155" s="359"/>
      <c r="F155" s="359"/>
      <c r="G155" s="359"/>
      <c r="H155" s="165"/>
    </row>
    <row r="156" spans="5:8" s="23" customFormat="1">
      <c r="E156" s="359"/>
      <c r="F156" s="359"/>
      <c r="G156" s="359"/>
      <c r="H156" s="165"/>
    </row>
    <row r="157" spans="5:8" s="23" customFormat="1">
      <c r="E157" s="359"/>
      <c r="F157" s="359"/>
      <c r="G157" s="359"/>
      <c r="H157" s="165"/>
    </row>
    <row r="158" spans="5:8" s="23" customFormat="1">
      <c r="E158" s="359"/>
      <c r="F158" s="359"/>
      <c r="G158" s="359"/>
      <c r="H158" s="165"/>
    </row>
    <row r="159" spans="5:8" s="23" customFormat="1">
      <c r="E159" s="359"/>
      <c r="F159" s="359"/>
      <c r="G159" s="359"/>
      <c r="H159" s="165"/>
    </row>
    <row r="160" spans="5:8" s="23" customFormat="1">
      <c r="E160" s="359"/>
      <c r="F160" s="359"/>
      <c r="G160" s="359"/>
      <c r="H160" s="165"/>
    </row>
    <row r="161" spans="5:8" s="23" customFormat="1">
      <c r="E161" s="359"/>
      <c r="F161" s="359"/>
      <c r="G161" s="359"/>
      <c r="H161" s="165"/>
    </row>
    <row r="162" spans="5:8" s="23" customFormat="1">
      <c r="E162" s="359"/>
      <c r="F162" s="359"/>
      <c r="G162" s="359"/>
      <c r="H162" s="165"/>
    </row>
    <row r="163" spans="5:8" s="23" customFormat="1">
      <c r="E163" s="359"/>
      <c r="F163" s="359"/>
      <c r="G163" s="359"/>
      <c r="H163" s="165"/>
    </row>
    <row r="164" spans="5:8" s="23" customFormat="1">
      <c r="E164" s="359"/>
      <c r="F164" s="359"/>
      <c r="G164" s="359"/>
      <c r="H164" s="165"/>
    </row>
    <row r="165" spans="5:8" s="23" customFormat="1">
      <c r="E165" s="359"/>
      <c r="F165" s="359"/>
      <c r="G165" s="359"/>
      <c r="H165" s="165"/>
    </row>
    <row r="166" spans="5:8" s="23" customFormat="1">
      <c r="E166" s="359"/>
      <c r="F166" s="359"/>
      <c r="G166" s="359"/>
      <c r="H166" s="165"/>
    </row>
    <row r="167" spans="5:8" s="23" customFormat="1">
      <c r="E167" s="359"/>
      <c r="F167" s="359"/>
      <c r="G167" s="359"/>
      <c r="H167" s="165"/>
    </row>
    <row r="168" spans="5:8" s="23" customFormat="1">
      <c r="E168" s="359"/>
      <c r="F168" s="359"/>
      <c r="G168" s="359"/>
      <c r="H168" s="165"/>
    </row>
    <row r="169" spans="5:8" s="23" customFormat="1">
      <c r="E169" s="359"/>
      <c r="F169" s="359"/>
      <c r="G169" s="359"/>
      <c r="H169" s="165"/>
    </row>
    <row r="170" spans="5:8" s="23" customFormat="1">
      <c r="E170" s="359"/>
      <c r="F170" s="359"/>
      <c r="G170" s="359"/>
      <c r="H170" s="165"/>
    </row>
    <row r="171" spans="5:8" s="23" customFormat="1">
      <c r="E171" s="359"/>
      <c r="F171" s="359"/>
      <c r="G171" s="359"/>
      <c r="H171" s="165"/>
    </row>
    <row r="172" spans="5:8" s="23" customFormat="1">
      <c r="E172" s="359"/>
      <c r="F172" s="359"/>
      <c r="G172" s="359"/>
      <c r="H172" s="165"/>
    </row>
    <row r="173" spans="5:8" s="23" customFormat="1">
      <c r="E173" s="359"/>
      <c r="F173" s="359"/>
      <c r="G173" s="359"/>
      <c r="H173" s="165"/>
    </row>
    <row r="174" spans="5:8" s="23" customFormat="1">
      <c r="E174" s="359"/>
      <c r="F174" s="359"/>
      <c r="G174" s="359"/>
      <c r="H174" s="165"/>
    </row>
    <row r="175" spans="5:8" s="23" customFormat="1">
      <c r="E175" s="359"/>
      <c r="F175" s="359"/>
      <c r="G175" s="359"/>
      <c r="H175" s="165"/>
    </row>
    <row r="176" spans="5:8" s="23" customFormat="1">
      <c r="E176" s="359"/>
      <c r="F176" s="359"/>
      <c r="G176" s="359"/>
      <c r="H176" s="165"/>
    </row>
    <row r="177" spans="5:8" s="23" customFormat="1">
      <c r="E177" s="359"/>
      <c r="F177" s="359"/>
      <c r="G177" s="359"/>
      <c r="H177" s="165"/>
    </row>
    <row r="178" spans="5:8" s="23" customFormat="1">
      <c r="E178" s="359"/>
      <c r="F178" s="359"/>
      <c r="G178" s="359"/>
      <c r="H178" s="165"/>
    </row>
    <row r="179" spans="5:8" s="23" customFormat="1">
      <c r="E179" s="359"/>
      <c r="F179" s="359"/>
      <c r="G179" s="359"/>
      <c r="H179" s="165"/>
    </row>
    <row r="180" spans="5:8" s="23" customFormat="1">
      <c r="E180" s="359"/>
      <c r="F180" s="359"/>
      <c r="G180" s="359"/>
      <c r="H180" s="165"/>
    </row>
    <row r="181" spans="5:8" s="23" customFormat="1">
      <c r="E181" s="359"/>
      <c r="F181" s="359"/>
      <c r="G181" s="359"/>
      <c r="H181" s="165"/>
    </row>
    <row r="182" spans="5:8" s="23" customFormat="1">
      <c r="E182" s="359"/>
      <c r="F182" s="359"/>
      <c r="G182" s="359"/>
      <c r="H182" s="165"/>
    </row>
    <row r="183" spans="5:8" s="23" customFormat="1">
      <c r="E183" s="359"/>
      <c r="F183" s="359"/>
      <c r="G183" s="359"/>
      <c r="H183" s="165"/>
    </row>
    <row r="184" spans="5:8" s="23" customFormat="1">
      <c r="E184" s="359"/>
      <c r="F184" s="359"/>
      <c r="G184" s="359"/>
      <c r="H184" s="165"/>
    </row>
    <row r="185" spans="5:8" s="23" customFormat="1">
      <c r="E185" s="359"/>
      <c r="F185" s="359"/>
      <c r="G185" s="359"/>
      <c r="H185" s="165"/>
    </row>
    <row r="186" spans="5:8" s="23" customFormat="1">
      <c r="E186" s="359"/>
      <c r="F186" s="359"/>
      <c r="G186" s="359"/>
      <c r="H186" s="165"/>
    </row>
    <row r="187" spans="5:8" s="23" customFormat="1">
      <c r="E187" s="359"/>
      <c r="F187" s="359"/>
      <c r="G187" s="359"/>
      <c r="H187" s="165"/>
    </row>
    <row r="188" spans="5:8" s="23" customFormat="1">
      <c r="E188" s="359"/>
      <c r="F188" s="359"/>
      <c r="G188" s="359"/>
      <c r="H188" s="165"/>
    </row>
    <row r="189" spans="5:8" s="23" customFormat="1">
      <c r="E189" s="359"/>
      <c r="F189" s="359"/>
      <c r="G189" s="359"/>
      <c r="H189" s="165"/>
    </row>
    <row r="190" spans="5:8" s="23" customFormat="1">
      <c r="E190" s="359"/>
      <c r="F190" s="359"/>
      <c r="G190" s="359"/>
      <c r="H190" s="165"/>
    </row>
    <row r="191" spans="5:8" s="23" customFormat="1">
      <c r="E191" s="359"/>
      <c r="F191" s="359"/>
      <c r="G191" s="359"/>
      <c r="H191" s="165"/>
    </row>
    <row r="192" spans="5:8" s="23" customFormat="1">
      <c r="E192" s="359"/>
      <c r="F192" s="359"/>
      <c r="G192" s="359"/>
      <c r="H192" s="165"/>
    </row>
    <row r="193" spans="5:8" s="23" customFormat="1">
      <c r="E193" s="359"/>
      <c r="F193" s="359"/>
      <c r="G193" s="359"/>
      <c r="H193" s="165"/>
    </row>
    <row r="194" spans="5:8" s="23" customFormat="1">
      <c r="E194" s="359"/>
      <c r="F194" s="359"/>
      <c r="G194" s="359"/>
      <c r="H194" s="165"/>
    </row>
    <row r="195" spans="5:8" s="23" customFormat="1">
      <c r="E195" s="359"/>
      <c r="F195" s="359"/>
      <c r="G195" s="359"/>
      <c r="H195" s="165"/>
    </row>
    <row r="196" spans="5:8" s="23" customFormat="1">
      <c r="E196" s="359"/>
      <c r="F196" s="359"/>
      <c r="G196" s="359"/>
      <c r="H196" s="165"/>
    </row>
    <row r="197" spans="5:8" s="23" customFormat="1">
      <c r="E197" s="359"/>
      <c r="F197" s="359"/>
      <c r="G197" s="359"/>
      <c r="H197" s="165"/>
    </row>
    <row r="198" spans="5:8" s="23" customFormat="1">
      <c r="E198" s="359"/>
      <c r="F198" s="359"/>
      <c r="G198" s="359"/>
      <c r="H198" s="165"/>
    </row>
    <row r="199" spans="5:8" s="23" customFormat="1">
      <c r="E199" s="359"/>
      <c r="F199" s="359"/>
      <c r="G199" s="359"/>
      <c r="H199" s="165"/>
    </row>
    <row r="200" spans="5:8" s="23" customFormat="1">
      <c r="E200" s="359"/>
      <c r="F200" s="359"/>
      <c r="G200" s="359"/>
      <c r="H200" s="165"/>
    </row>
    <row r="201" spans="5:8" s="23" customFormat="1">
      <c r="E201" s="359"/>
      <c r="F201" s="359"/>
      <c r="G201" s="359"/>
      <c r="H201" s="165"/>
    </row>
    <row r="202" spans="5:8" s="23" customFormat="1">
      <c r="E202" s="359"/>
      <c r="F202" s="359"/>
      <c r="G202" s="359"/>
      <c r="H202" s="165"/>
    </row>
    <row r="203" spans="5:8" s="23" customFormat="1">
      <c r="E203" s="359"/>
      <c r="F203" s="359"/>
      <c r="G203" s="359"/>
      <c r="H203" s="165"/>
    </row>
    <row r="204" spans="5:8" s="23" customFormat="1">
      <c r="E204" s="359"/>
      <c r="F204" s="359"/>
      <c r="G204" s="359"/>
      <c r="H204" s="165"/>
    </row>
    <row r="205" spans="5:8" s="23" customFormat="1">
      <c r="E205" s="359"/>
      <c r="F205" s="359"/>
      <c r="G205" s="359"/>
      <c r="H205" s="165"/>
    </row>
    <row r="206" spans="5:8" s="23" customFormat="1">
      <c r="E206" s="359"/>
      <c r="F206" s="359"/>
      <c r="G206" s="359"/>
      <c r="H206" s="165"/>
    </row>
    <row r="207" spans="5:8" s="23" customFormat="1">
      <c r="E207" s="359"/>
      <c r="F207" s="359"/>
      <c r="G207" s="359"/>
      <c r="H207" s="165"/>
    </row>
    <row r="208" spans="5:8" s="23" customFormat="1">
      <c r="E208" s="359"/>
      <c r="F208" s="359"/>
      <c r="G208" s="359"/>
      <c r="H208" s="165"/>
    </row>
    <row r="209" spans="5:8" s="23" customFormat="1">
      <c r="E209" s="359"/>
      <c r="F209" s="359"/>
      <c r="G209" s="359"/>
      <c r="H209" s="165"/>
    </row>
    <row r="210" spans="5:8" s="23" customFormat="1">
      <c r="E210" s="359"/>
      <c r="F210" s="359"/>
      <c r="G210" s="359"/>
      <c r="H210" s="165"/>
    </row>
    <row r="211" spans="5:8" s="23" customFormat="1">
      <c r="E211" s="359"/>
      <c r="F211" s="359"/>
      <c r="G211" s="359"/>
      <c r="H211" s="165"/>
    </row>
    <row r="212" spans="5:8" s="23" customFormat="1">
      <c r="E212" s="359"/>
      <c r="F212" s="359"/>
      <c r="G212" s="359"/>
      <c r="H212" s="165"/>
    </row>
    <row r="213" spans="5:8" s="23" customFormat="1">
      <c r="E213" s="359"/>
      <c r="F213" s="359"/>
      <c r="G213" s="359"/>
      <c r="H213" s="165"/>
    </row>
    <row r="214" spans="5:8" s="23" customFormat="1">
      <c r="E214" s="359"/>
      <c r="F214" s="359"/>
      <c r="G214" s="359"/>
      <c r="H214" s="165"/>
    </row>
    <row r="215" spans="5:8" s="23" customFormat="1">
      <c r="E215" s="359"/>
      <c r="F215" s="359"/>
      <c r="G215" s="359"/>
      <c r="H215" s="165"/>
    </row>
    <row r="216" spans="5:8" s="23" customFormat="1">
      <c r="E216" s="359"/>
      <c r="F216" s="359"/>
      <c r="G216" s="359"/>
      <c r="H216" s="165"/>
    </row>
    <row r="217" spans="5:8" s="23" customFormat="1">
      <c r="E217" s="359"/>
      <c r="F217" s="359"/>
      <c r="G217" s="359"/>
      <c r="H217" s="165"/>
    </row>
    <row r="218" spans="5:8" s="23" customFormat="1">
      <c r="E218" s="359"/>
      <c r="F218" s="359"/>
      <c r="G218" s="359"/>
      <c r="H218" s="165"/>
    </row>
    <row r="219" spans="5:8" s="23" customFormat="1">
      <c r="E219" s="359"/>
      <c r="F219" s="359"/>
      <c r="G219" s="359"/>
      <c r="H219" s="165"/>
    </row>
    <row r="220" spans="5:8" s="23" customFormat="1">
      <c r="E220" s="359"/>
      <c r="F220" s="359"/>
      <c r="G220" s="359"/>
      <c r="H220" s="165"/>
    </row>
    <row r="221" spans="5:8" s="23" customFormat="1">
      <c r="E221" s="359"/>
      <c r="F221" s="359"/>
      <c r="G221" s="359"/>
      <c r="H221" s="165"/>
    </row>
    <row r="222" spans="5:8" s="23" customFormat="1">
      <c r="E222" s="359"/>
      <c r="F222" s="359"/>
      <c r="G222" s="359"/>
      <c r="H222" s="165"/>
    </row>
    <row r="223" spans="5:8" s="23" customFormat="1">
      <c r="E223" s="359"/>
      <c r="F223" s="359"/>
      <c r="G223" s="359"/>
      <c r="H223" s="165"/>
    </row>
    <row r="224" spans="5:8" s="23" customFormat="1">
      <c r="E224" s="359"/>
      <c r="F224" s="359"/>
      <c r="G224" s="359"/>
      <c r="H224" s="165"/>
    </row>
    <row r="225" spans="5:8" s="23" customFormat="1">
      <c r="E225" s="359"/>
      <c r="F225" s="359"/>
      <c r="G225" s="359"/>
      <c r="H225" s="165"/>
    </row>
    <row r="226" spans="5:8" s="23" customFormat="1">
      <c r="E226" s="359"/>
      <c r="F226" s="359"/>
      <c r="G226" s="359"/>
      <c r="H226" s="165"/>
    </row>
    <row r="227" spans="5:8" s="23" customFormat="1">
      <c r="E227" s="359"/>
      <c r="F227" s="359"/>
      <c r="G227" s="359"/>
      <c r="H227" s="165"/>
    </row>
    <row r="228" spans="5:8" s="23" customFormat="1">
      <c r="E228" s="359"/>
      <c r="F228" s="359"/>
      <c r="G228" s="359"/>
      <c r="H228" s="165"/>
    </row>
    <row r="229" spans="5:8" s="23" customFormat="1">
      <c r="E229" s="359"/>
      <c r="F229" s="359"/>
      <c r="G229" s="359"/>
      <c r="H229" s="165"/>
    </row>
    <row r="230" spans="5:8" s="23" customFormat="1">
      <c r="E230" s="359"/>
      <c r="F230" s="359"/>
      <c r="G230" s="359"/>
      <c r="H230" s="165"/>
    </row>
    <row r="231" spans="5:8" s="23" customFormat="1">
      <c r="E231" s="359"/>
      <c r="F231" s="359"/>
      <c r="G231" s="359"/>
      <c r="H231" s="165"/>
    </row>
    <row r="232" spans="5:8" s="23" customFormat="1">
      <c r="E232" s="359"/>
      <c r="F232" s="359"/>
      <c r="G232" s="359"/>
      <c r="H232" s="165"/>
    </row>
    <row r="233" spans="5:8" s="23" customFormat="1">
      <c r="E233" s="359"/>
      <c r="F233" s="359"/>
      <c r="G233" s="359"/>
      <c r="H233" s="165"/>
    </row>
    <row r="234" spans="5:8" s="23" customFormat="1">
      <c r="E234" s="359"/>
      <c r="F234" s="359"/>
      <c r="G234" s="359"/>
      <c r="H234" s="165"/>
    </row>
    <row r="235" spans="5:8" s="23" customFormat="1">
      <c r="E235" s="359"/>
      <c r="F235" s="359"/>
      <c r="G235" s="359"/>
      <c r="H235" s="165"/>
    </row>
    <row r="236" spans="5:8" s="23" customFormat="1">
      <c r="E236" s="359"/>
      <c r="F236" s="359"/>
      <c r="G236" s="359"/>
      <c r="H236" s="165"/>
    </row>
    <row r="237" spans="5:8" s="23" customFormat="1">
      <c r="E237" s="359"/>
      <c r="F237" s="359"/>
      <c r="G237" s="359"/>
      <c r="H237" s="165"/>
    </row>
    <row r="238" spans="5:8" s="23" customFormat="1">
      <c r="E238" s="359"/>
      <c r="F238" s="359"/>
      <c r="G238" s="359"/>
      <c r="H238" s="165"/>
    </row>
    <row r="239" spans="5:8" s="23" customFormat="1">
      <c r="E239" s="359"/>
      <c r="F239" s="359"/>
      <c r="G239" s="359"/>
      <c r="H239" s="165"/>
    </row>
    <row r="240" spans="5:8" s="23" customFormat="1">
      <c r="E240" s="359"/>
      <c r="F240" s="359"/>
      <c r="G240" s="359"/>
      <c r="H240" s="165"/>
    </row>
    <row r="241" spans="5:8" s="23" customFormat="1">
      <c r="E241" s="359"/>
      <c r="F241" s="359"/>
      <c r="G241" s="359"/>
      <c r="H241" s="165"/>
    </row>
    <row r="242" spans="5:8" s="23" customFormat="1">
      <c r="E242" s="359"/>
      <c r="F242" s="359"/>
      <c r="G242" s="359"/>
      <c r="H242" s="165"/>
    </row>
    <row r="243" spans="5:8" s="23" customFormat="1">
      <c r="E243" s="359"/>
      <c r="F243" s="359"/>
      <c r="G243" s="359"/>
      <c r="H243" s="165"/>
    </row>
    <row r="244" spans="5:8" s="23" customFormat="1">
      <c r="E244" s="359"/>
      <c r="F244" s="359"/>
      <c r="G244" s="359"/>
      <c r="H244" s="165"/>
    </row>
    <row r="245" spans="5:8" s="23" customFormat="1">
      <c r="E245" s="359"/>
      <c r="F245" s="359"/>
      <c r="G245" s="359"/>
      <c r="H245" s="165"/>
    </row>
    <row r="246" spans="5:8" s="23" customFormat="1">
      <c r="E246" s="359"/>
      <c r="F246" s="359"/>
      <c r="G246" s="359"/>
      <c r="H246" s="165"/>
    </row>
    <row r="247" spans="5:8" s="23" customFormat="1">
      <c r="E247" s="359"/>
      <c r="F247" s="359"/>
      <c r="G247" s="359"/>
      <c r="H247" s="165"/>
    </row>
    <row r="248" spans="5:8" s="23" customFormat="1">
      <c r="E248" s="359"/>
      <c r="F248" s="359"/>
      <c r="G248" s="359"/>
      <c r="H248" s="165"/>
    </row>
    <row r="249" spans="5:8" s="23" customFormat="1">
      <c r="E249" s="359"/>
      <c r="F249" s="359"/>
      <c r="G249" s="359"/>
      <c r="H249" s="165"/>
    </row>
    <row r="250" spans="5:8" s="23" customFormat="1">
      <c r="E250" s="359"/>
      <c r="F250" s="359"/>
      <c r="G250" s="359"/>
      <c r="H250" s="165"/>
    </row>
    <row r="251" spans="5:8" s="23" customFormat="1">
      <c r="E251" s="359"/>
      <c r="F251" s="359"/>
      <c r="G251" s="359"/>
      <c r="H251" s="165"/>
    </row>
    <row r="252" spans="5:8" s="23" customFormat="1">
      <c r="E252" s="359"/>
      <c r="F252" s="359"/>
      <c r="G252" s="359"/>
      <c r="H252" s="165"/>
    </row>
    <row r="253" spans="5:8" s="23" customFormat="1">
      <c r="E253" s="359"/>
      <c r="F253" s="359"/>
      <c r="G253" s="359"/>
      <c r="H253" s="165"/>
    </row>
    <row r="254" spans="5:8" s="23" customFormat="1">
      <c r="E254" s="359"/>
      <c r="F254" s="359"/>
      <c r="G254" s="359"/>
      <c r="H254" s="165"/>
    </row>
    <row r="255" spans="5:8" s="23" customFormat="1">
      <c r="E255" s="359"/>
      <c r="F255" s="359"/>
      <c r="G255" s="359"/>
      <c r="H255" s="165"/>
    </row>
    <row r="256" spans="5:8" s="23" customFormat="1">
      <c r="E256" s="359"/>
      <c r="F256" s="359"/>
      <c r="G256" s="359"/>
      <c r="H256" s="165"/>
    </row>
    <row r="257" spans="5:8" s="23" customFormat="1">
      <c r="E257" s="359"/>
      <c r="F257" s="359"/>
      <c r="G257" s="359"/>
      <c r="H257" s="165"/>
    </row>
    <row r="258" spans="5:8" s="23" customFormat="1">
      <c r="E258" s="359"/>
      <c r="F258" s="359"/>
      <c r="G258" s="359"/>
      <c r="H258" s="165"/>
    </row>
    <row r="259" spans="5:8" s="23" customFormat="1">
      <c r="E259" s="359"/>
      <c r="F259" s="359"/>
      <c r="G259" s="359"/>
      <c r="H259" s="165"/>
    </row>
    <row r="260" spans="5:8" s="23" customFormat="1">
      <c r="E260" s="359"/>
      <c r="F260" s="359"/>
      <c r="G260" s="359"/>
      <c r="H260" s="165"/>
    </row>
    <row r="261" spans="5:8" s="23" customFormat="1">
      <c r="E261" s="359"/>
      <c r="F261" s="359"/>
      <c r="G261" s="359"/>
      <c r="H261" s="165"/>
    </row>
    <row r="262" spans="5:8" s="23" customFormat="1">
      <c r="E262" s="359"/>
      <c r="F262" s="359"/>
      <c r="G262" s="359"/>
      <c r="H262" s="165"/>
    </row>
    <row r="263" spans="5:8" s="23" customFormat="1">
      <c r="E263" s="359"/>
      <c r="F263" s="359"/>
      <c r="G263" s="359"/>
      <c r="H263" s="165"/>
    </row>
    <row r="264" spans="5:8" s="23" customFormat="1">
      <c r="E264" s="359"/>
      <c r="F264" s="359"/>
      <c r="G264" s="359"/>
      <c r="H264" s="165"/>
    </row>
    <row r="265" spans="5:8" s="23" customFormat="1">
      <c r="E265" s="359"/>
      <c r="F265" s="359"/>
      <c r="G265" s="359"/>
      <c r="H265" s="165"/>
    </row>
    <row r="266" spans="5:8" s="23" customFormat="1">
      <c r="E266" s="359"/>
      <c r="F266" s="359"/>
      <c r="G266" s="359"/>
      <c r="H266" s="165"/>
    </row>
    <row r="267" spans="5:8" s="23" customFormat="1">
      <c r="E267" s="359"/>
      <c r="F267" s="359"/>
      <c r="G267" s="359"/>
      <c r="H267" s="165"/>
    </row>
    <row r="268" spans="5:8" s="23" customFormat="1">
      <c r="E268" s="359"/>
      <c r="F268" s="359"/>
      <c r="G268" s="359"/>
      <c r="H268" s="165"/>
    </row>
    <row r="269" spans="5:8" s="23" customFormat="1">
      <c r="E269" s="359"/>
      <c r="F269" s="359"/>
      <c r="G269" s="359"/>
      <c r="H269" s="165"/>
    </row>
    <row r="270" spans="5:8" s="23" customFormat="1">
      <c r="E270" s="359"/>
      <c r="F270" s="359"/>
      <c r="G270" s="359"/>
      <c r="H270" s="165"/>
    </row>
    <row r="271" spans="5:8" s="23" customFormat="1">
      <c r="E271" s="359"/>
      <c r="F271" s="359"/>
      <c r="G271" s="359"/>
      <c r="H271" s="165"/>
    </row>
    <row r="272" spans="5:8" s="23" customFormat="1">
      <c r="E272" s="359"/>
      <c r="F272" s="359"/>
      <c r="G272" s="359"/>
      <c r="H272" s="165"/>
    </row>
    <row r="273" spans="5:8" s="23" customFormat="1">
      <c r="E273" s="359"/>
      <c r="F273" s="359"/>
      <c r="G273" s="359"/>
      <c r="H273" s="165"/>
    </row>
    <row r="274" spans="5:8" s="23" customFormat="1">
      <c r="E274" s="359"/>
      <c r="F274" s="359"/>
      <c r="G274" s="359"/>
      <c r="H274" s="165"/>
    </row>
    <row r="275" spans="5:8" s="23" customFormat="1">
      <c r="E275" s="359"/>
      <c r="F275" s="359"/>
      <c r="G275" s="359"/>
      <c r="H275" s="165"/>
    </row>
    <row r="276" spans="5:8" s="23" customFormat="1">
      <c r="E276" s="359"/>
      <c r="F276" s="359"/>
      <c r="G276" s="359"/>
      <c r="H276" s="165"/>
    </row>
    <row r="277" spans="5:8" s="23" customFormat="1">
      <c r="E277" s="359"/>
      <c r="F277" s="359"/>
      <c r="G277" s="359"/>
      <c r="H277" s="165"/>
    </row>
    <row r="278" spans="5:8" s="23" customFormat="1">
      <c r="E278" s="359"/>
      <c r="F278" s="359"/>
      <c r="G278" s="359"/>
      <c r="H278" s="165"/>
    </row>
    <row r="279" spans="5:8" s="23" customFormat="1">
      <c r="E279" s="359"/>
      <c r="F279" s="359"/>
      <c r="G279" s="359"/>
      <c r="H279" s="165"/>
    </row>
    <row r="280" spans="5:8" s="23" customFormat="1">
      <c r="E280" s="359"/>
      <c r="F280" s="359"/>
      <c r="G280" s="359"/>
      <c r="H280" s="165"/>
    </row>
    <row r="281" spans="5:8" s="23" customFormat="1">
      <c r="E281" s="359"/>
      <c r="F281" s="359"/>
      <c r="G281" s="359"/>
      <c r="H281" s="165"/>
    </row>
    <row r="282" spans="5:8" s="23" customFormat="1">
      <c r="E282" s="359"/>
      <c r="F282" s="359"/>
      <c r="G282" s="359"/>
      <c r="H282" s="165"/>
    </row>
    <row r="283" spans="5:8" s="23" customFormat="1">
      <c r="E283" s="359"/>
      <c r="F283" s="359"/>
      <c r="G283" s="359"/>
      <c r="H283" s="165"/>
    </row>
    <row r="284" spans="5:8" s="23" customFormat="1">
      <c r="E284" s="359"/>
      <c r="F284" s="359"/>
      <c r="G284" s="359"/>
      <c r="H284" s="165"/>
    </row>
    <row r="285" spans="5:8" s="23" customFormat="1">
      <c r="E285" s="359"/>
      <c r="F285" s="359"/>
      <c r="G285" s="359"/>
      <c r="H285" s="165"/>
    </row>
    <row r="286" spans="5:8" s="23" customFormat="1">
      <c r="E286" s="359"/>
      <c r="F286" s="359"/>
      <c r="G286" s="359"/>
      <c r="H286" s="165"/>
    </row>
    <row r="287" spans="5:8" s="23" customFormat="1">
      <c r="E287" s="359"/>
      <c r="F287" s="359"/>
      <c r="G287" s="359"/>
      <c r="H287" s="165"/>
    </row>
    <row r="288" spans="5:8" s="23" customFormat="1">
      <c r="E288" s="359"/>
      <c r="F288" s="359"/>
      <c r="G288" s="359"/>
      <c r="H288" s="165"/>
    </row>
    <row r="289" spans="5:8" s="23" customFormat="1">
      <c r="E289" s="359"/>
      <c r="F289" s="359"/>
      <c r="G289" s="359"/>
      <c r="H289" s="165"/>
    </row>
    <row r="290" spans="5:8" s="23" customFormat="1">
      <c r="E290" s="359"/>
      <c r="F290" s="359"/>
      <c r="G290" s="359"/>
      <c r="H290" s="165"/>
    </row>
    <row r="291" spans="5:8" s="23" customFormat="1">
      <c r="E291" s="359"/>
      <c r="F291" s="359"/>
      <c r="G291" s="359"/>
      <c r="H291" s="165"/>
    </row>
    <row r="292" spans="5:8" s="23" customFormat="1">
      <c r="E292" s="359"/>
      <c r="F292" s="359"/>
      <c r="G292" s="359"/>
      <c r="H292" s="165"/>
    </row>
    <row r="293" spans="5:8" s="23" customFormat="1">
      <c r="E293" s="359"/>
      <c r="F293" s="359"/>
      <c r="G293" s="359"/>
      <c r="H293" s="165"/>
    </row>
    <row r="294" spans="5:8" s="23" customFormat="1">
      <c r="E294" s="359"/>
      <c r="F294" s="359"/>
      <c r="G294" s="359"/>
      <c r="H294" s="165"/>
    </row>
    <row r="295" spans="5:8" s="23" customFormat="1">
      <c r="E295" s="359"/>
      <c r="F295" s="359"/>
      <c r="G295" s="359"/>
      <c r="H295" s="165"/>
    </row>
    <row r="296" spans="5:8" s="23" customFormat="1">
      <c r="E296" s="359"/>
      <c r="F296" s="359"/>
      <c r="G296" s="359"/>
      <c r="H296" s="165"/>
    </row>
    <row r="297" spans="5:8" s="23" customFormat="1">
      <c r="E297" s="359"/>
      <c r="F297" s="359"/>
      <c r="G297" s="359"/>
      <c r="H297" s="165"/>
    </row>
    <row r="298" spans="5:8" s="23" customFormat="1">
      <c r="E298" s="359"/>
      <c r="F298" s="359"/>
      <c r="G298" s="359"/>
      <c r="H298" s="165"/>
    </row>
    <row r="299" spans="5:8" s="23" customFormat="1">
      <c r="E299" s="359"/>
      <c r="F299" s="359"/>
      <c r="G299" s="359"/>
      <c r="H299" s="165"/>
    </row>
    <row r="300" spans="5:8" s="23" customFormat="1">
      <c r="E300" s="359"/>
      <c r="F300" s="359"/>
      <c r="G300" s="359"/>
      <c r="H300" s="165"/>
    </row>
    <row r="301" spans="5:8" s="23" customFormat="1">
      <c r="E301" s="359"/>
      <c r="F301" s="359"/>
      <c r="G301" s="359"/>
      <c r="H301" s="165"/>
    </row>
    <row r="302" spans="5:8" s="23" customFormat="1">
      <c r="E302" s="359"/>
      <c r="F302" s="359"/>
      <c r="G302" s="359"/>
      <c r="H302" s="165"/>
    </row>
    <row r="303" spans="5:8" s="23" customFormat="1">
      <c r="E303" s="359"/>
      <c r="F303" s="359"/>
      <c r="G303" s="359"/>
      <c r="H303" s="165"/>
    </row>
    <row r="304" spans="5:8" s="23" customFormat="1">
      <c r="E304" s="359"/>
      <c r="F304" s="359"/>
      <c r="G304" s="359"/>
      <c r="H304" s="165"/>
    </row>
    <row r="305" spans="5:8" s="23" customFormat="1">
      <c r="E305" s="359"/>
      <c r="F305" s="359"/>
      <c r="G305" s="359"/>
      <c r="H305" s="165"/>
    </row>
    <row r="306" spans="5:8" s="23" customFormat="1">
      <c r="E306" s="359"/>
      <c r="F306" s="359"/>
      <c r="G306" s="359"/>
      <c r="H306" s="165"/>
    </row>
    <row r="307" spans="5:8" s="23" customFormat="1">
      <c r="E307" s="359"/>
      <c r="F307" s="359"/>
      <c r="G307" s="359"/>
      <c r="H307" s="165"/>
    </row>
    <row r="308" spans="5:8" s="23" customFormat="1">
      <c r="E308" s="359"/>
      <c r="F308" s="359"/>
      <c r="G308" s="359"/>
      <c r="H308" s="165"/>
    </row>
    <row r="309" spans="5:8" s="23" customFormat="1">
      <c r="E309" s="359"/>
      <c r="F309" s="359"/>
      <c r="G309" s="359"/>
      <c r="H309" s="165"/>
    </row>
    <row r="310" spans="5:8" s="23" customFormat="1">
      <c r="E310" s="359"/>
      <c r="F310" s="359"/>
      <c r="G310" s="359"/>
      <c r="H310" s="165"/>
    </row>
    <row r="311" spans="5:8" s="23" customFormat="1">
      <c r="E311" s="359"/>
      <c r="F311" s="359"/>
      <c r="G311" s="359"/>
      <c r="H311" s="165"/>
    </row>
    <row r="312" spans="5:8" s="23" customFormat="1">
      <c r="E312" s="359"/>
      <c r="F312" s="359"/>
      <c r="G312" s="359"/>
      <c r="H312" s="165"/>
    </row>
    <row r="313" spans="5:8" s="23" customFormat="1">
      <c r="E313" s="359"/>
      <c r="F313" s="359"/>
      <c r="G313" s="359"/>
      <c r="H313" s="165"/>
    </row>
    <row r="314" spans="5:8" s="23" customFormat="1">
      <c r="E314" s="359"/>
      <c r="F314" s="359"/>
      <c r="G314" s="359"/>
      <c r="H314" s="165"/>
    </row>
    <row r="315" spans="5:8" s="23" customFormat="1">
      <c r="E315" s="359"/>
      <c r="F315" s="359"/>
      <c r="G315" s="359"/>
      <c r="H315" s="165"/>
    </row>
    <row r="316" spans="5:8" s="23" customFormat="1">
      <c r="E316" s="359"/>
      <c r="F316" s="359"/>
      <c r="G316" s="359"/>
      <c r="H316" s="165"/>
    </row>
    <row r="317" spans="5:8" s="23" customFormat="1">
      <c r="E317" s="359"/>
      <c r="F317" s="359"/>
      <c r="G317" s="359"/>
      <c r="H317" s="165"/>
    </row>
    <row r="318" spans="5:8" s="23" customFormat="1">
      <c r="E318" s="359"/>
      <c r="F318" s="359"/>
      <c r="G318" s="359"/>
      <c r="H318" s="165"/>
    </row>
    <row r="319" spans="5:8" s="23" customFormat="1">
      <c r="E319" s="359"/>
      <c r="F319" s="359"/>
      <c r="G319" s="359"/>
      <c r="H319" s="165"/>
    </row>
    <row r="320" spans="5:8" s="23" customFormat="1">
      <c r="E320" s="359"/>
      <c r="F320" s="359"/>
      <c r="G320" s="359"/>
      <c r="H320" s="165"/>
    </row>
    <row r="321" spans="5:8" s="23" customFormat="1">
      <c r="E321" s="359"/>
      <c r="F321" s="359"/>
      <c r="G321" s="359"/>
      <c r="H321" s="165"/>
    </row>
    <row r="322" spans="5:8" s="23" customFormat="1">
      <c r="E322" s="359"/>
      <c r="F322" s="359"/>
      <c r="G322" s="359"/>
      <c r="H322" s="165"/>
    </row>
    <row r="323" spans="5:8" s="23" customFormat="1">
      <c r="E323" s="359"/>
      <c r="F323" s="359"/>
      <c r="G323" s="359"/>
      <c r="H323" s="165"/>
    </row>
    <row r="324" spans="5:8" s="23" customFormat="1">
      <c r="E324" s="359"/>
      <c r="F324" s="359"/>
      <c r="G324" s="359"/>
      <c r="H324" s="165"/>
    </row>
    <row r="325" spans="5:8" s="23" customFormat="1">
      <c r="E325" s="359"/>
      <c r="F325" s="359"/>
      <c r="G325" s="359"/>
      <c r="H325" s="165"/>
    </row>
    <row r="326" spans="5:8" s="23" customFormat="1">
      <c r="E326" s="359"/>
      <c r="F326" s="359"/>
      <c r="G326" s="359"/>
      <c r="H326" s="165"/>
    </row>
    <row r="327" spans="5:8" s="23" customFormat="1">
      <c r="E327" s="359"/>
      <c r="F327" s="359"/>
      <c r="G327" s="359"/>
      <c r="H327" s="165"/>
    </row>
    <row r="328" spans="5:8" s="23" customFormat="1">
      <c r="E328" s="359"/>
      <c r="F328" s="359"/>
      <c r="G328" s="359"/>
      <c r="H328" s="165"/>
    </row>
    <row r="329" spans="5:8" s="23" customFormat="1">
      <c r="E329" s="359"/>
      <c r="F329" s="359"/>
      <c r="G329" s="359"/>
      <c r="H329" s="165"/>
    </row>
    <row r="330" spans="5:8" s="23" customFormat="1">
      <c r="E330" s="359"/>
      <c r="F330" s="359"/>
      <c r="G330" s="359"/>
      <c r="H330" s="165"/>
    </row>
    <row r="331" spans="5:8" s="23" customFormat="1">
      <c r="E331" s="359"/>
      <c r="F331" s="359"/>
      <c r="G331" s="359"/>
      <c r="H331" s="165"/>
    </row>
    <row r="332" spans="5:8" s="23" customFormat="1">
      <c r="E332" s="359"/>
      <c r="F332" s="359"/>
      <c r="G332" s="359"/>
      <c r="H332" s="165"/>
    </row>
    <row r="333" spans="5:8" s="23" customFormat="1">
      <c r="E333" s="359"/>
      <c r="F333" s="359"/>
      <c r="G333" s="359"/>
      <c r="H333" s="165"/>
    </row>
    <row r="334" spans="5:8" s="23" customFormat="1">
      <c r="E334" s="359"/>
      <c r="F334" s="359"/>
      <c r="G334" s="359"/>
      <c r="H334" s="165"/>
    </row>
    <row r="335" spans="5:8" s="23" customFormat="1">
      <c r="E335" s="359"/>
      <c r="F335" s="359"/>
      <c r="G335" s="359"/>
      <c r="H335" s="165"/>
    </row>
    <row r="336" spans="5:8" s="23" customFormat="1">
      <c r="E336" s="359"/>
      <c r="F336" s="359"/>
      <c r="G336" s="359"/>
      <c r="H336" s="165"/>
    </row>
    <row r="337" spans="5:8" s="23" customFormat="1">
      <c r="E337" s="359"/>
      <c r="F337" s="359"/>
      <c r="G337" s="359"/>
      <c r="H337" s="165"/>
    </row>
    <row r="338" spans="5:8" s="23" customFormat="1">
      <c r="E338" s="359"/>
      <c r="F338" s="359"/>
      <c r="G338" s="359"/>
      <c r="H338" s="165"/>
    </row>
    <row r="339" spans="5:8" s="23" customFormat="1">
      <c r="E339" s="359"/>
      <c r="F339" s="359"/>
      <c r="G339" s="359"/>
      <c r="H339" s="165"/>
    </row>
    <row r="340" spans="5:8" s="23" customFormat="1">
      <c r="E340" s="359"/>
      <c r="F340" s="359"/>
      <c r="G340" s="359"/>
      <c r="H340" s="165"/>
    </row>
    <row r="341" spans="5:8" s="23" customFormat="1">
      <c r="E341" s="359"/>
      <c r="F341" s="359"/>
      <c r="G341" s="359"/>
      <c r="H341" s="165"/>
    </row>
    <row r="342" spans="5:8" s="23" customFormat="1">
      <c r="E342" s="359"/>
      <c r="F342" s="359"/>
      <c r="G342" s="359"/>
      <c r="H342" s="165"/>
    </row>
    <row r="343" spans="5:8" s="23" customFormat="1">
      <c r="E343" s="359"/>
      <c r="F343" s="359"/>
      <c r="G343" s="359"/>
      <c r="H343" s="165"/>
    </row>
    <row r="344" spans="5:8" s="23" customFormat="1">
      <c r="E344" s="359"/>
      <c r="F344" s="359"/>
      <c r="G344" s="359"/>
      <c r="H344" s="165"/>
    </row>
    <row r="345" spans="5:8" s="23" customFormat="1">
      <c r="E345" s="359"/>
      <c r="F345" s="359"/>
      <c r="G345" s="359"/>
      <c r="H345" s="165"/>
    </row>
    <row r="346" spans="5:8" s="23" customFormat="1">
      <c r="E346" s="359"/>
      <c r="F346" s="359"/>
      <c r="G346" s="359"/>
      <c r="H346" s="165"/>
    </row>
    <row r="347" spans="5:8" s="23" customFormat="1">
      <c r="E347" s="359"/>
      <c r="F347" s="359"/>
      <c r="G347" s="359"/>
      <c r="H347" s="165"/>
    </row>
    <row r="348" spans="5:8" s="23" customFormat="1">
      <c r="E348" s="359"/>
      <c r="F348" s="359"/>
      <c r="G348" s="359"/>
      <c r="H348" s="165"/>
    </row>
    <row r="349" spans="5:8" s="23" customFormat="1">
      <c r="E349" s="359"/>
      <c r="F349" s="359"/>
      <c r="G349" s="359"/>
      <c r="H349" s="165"/>
    </row>
    <row r="350" spans="5:8" s="23" customFormat="1">
      <c r="E350" s="359"/>
      <c r="F350" s="359"/>
      <c r="G350" s="359"/>
      <c r="H350" s="165"/>
    </row>
    <row r="351" spans="5:8" s="23" customFormat="1">
      <c r="E351" s="359"/>
      <c r="F351" s="359"/>
      <c r="G351" s="359"/>
      <c r="H351" s="165"/>
    </row>
    <row r="352" spans="5:8" s="23" customFormat="1">
      <c r="E352" s="359"/>
      <c r="F352" s="359"/>
      <c r="G352" s="359"/>
      <c r="H352" s="165"/>
    </row>
    <row r="353" spans="5:8" s="23" customFormat="1">
      <c r="E353" s="359"/>
      <c r="F353" s="359"/>
      <c r="G353" s="359"/>
      <c r="H353" s="165"/>
    </row>
    <row r="354" spans="5:8" s="23" customFormat="1">
      <c r="E354" s="359"/>
      <c r="F354" s="359"/>
      <c r="G354" s="359"/>
      <c r="H354" s="165"/>
    </row>
    <row r="355" spans="5:8" s="23" customFormat="1">
      <c r="E355" s="359"/>
      <c r="F355" s="359"/>
      <c r="G355" s="359"/>
      <c r="H355" s="165"/>
    </row>
    <row r="356" spans="5:8" s="23" customFormat="1">
      <c r="E356" s="359"/>
      <c r="F356" s="359"/>
      <c r="G356" s="359"/>
      <c r="H356" s="165"/>
    </row>
    <row r="357" spans="5:8" s="23" customFormat="1">
      <c r="E357" s="359"/>
      <c r="F357" s="359"/>
      <c r="G357" s="359"/>
      <c r="H357" s="165"/>
    </row>
    <row r="358" spans="5:8" s="23" customFormat="1">
      <c r="E358" s="359"/>
      <c r="F358" s="359"/>
      <c r="G358" s="359"/>
      <c r="H358" s="165"/>
    </row>
    <row r="359" spans="5:8" s="23" customFormat="1">
      <c r="E359" s="359"/>
      <c r="F359" s="359"/>
      <c r="G359" s="359"/>
      <c r="H359" s="165"/>
    </row>
    <row r="360" spans="5:8" s="23" customFormat="1">
      <c r="E360" s="359"/>
      <c r="F360" s="359"/>
      <c r="G360" s="359"/>
      <c r="H360" s="165"/>
    </row>
    <row r="361" spans="5:8" s="23" customFormat="1">
      <c r="E361" s="359"/>
      <c r="F361" s="359"/>
      <c r="G361" s="359"/>
      <c r="H361" s="165"/>
    </row>
    <row r="362" spans="5:8" s="23" customFormat="1">
      <c r="E362" s="359"/>
      <c r="F362" s="359"/>
      <c r="G362" s="359"/>
      <c r="H362" s="165"/>
    </row>
    <row r="363" spans="5:8" s="23" customFormat="1">
      <c r="E363" s="359"/>
      <c r="F363" s="359"/>
      <c r="G363" s="359"/>
      <c r="H363" s="165"/>
    </row>
    <row r="364" spans="5:8" s="23" customFormat="1">
      <c r="E364" s="359"/>
      <c r="F364" s="359"/>
      <c r="G364" s="359"/>
      <c r="H364" s="165"/>
    </row>
    <row r="365" spans="5:8" s="23" customFormat="1">
      <c r="E365" s="359"/>
      <c r="F365" s="359"/>
      <c r="G365" s="359"/>
      <c r="H365" s="165"/>
    </row>
    <row r="366" spans="5:8" s="23" customFormat="1">
      <c r="E366" s="359"/>
      <c r="F366" s="359"/>
      <c r="G366" s="359"/>
      <c r="H366" s="165"/>
    </row>
    <row r="367" spans="5:8" s="23" customFormat="1">
      <c r="E367" s="359"/>
      <c r="F367" s="359"/>
      <c r="G367" s="359"/>
      <c r="H367" s="165"/>
    </row>
    <row r="368" spans="5:8" s="23" customFormat="1">
      <c r="E368" s="359"/>
      <c r="F368" s="359"/>
      <c r="G368" s="359"/>
      <c r="H368" s="165"/>
    </row>
    <row r="369" spans="5:8" s="23" customFormat="1">
      <c r="E369" s="359"/>
      <c r="F369" s="359"/>
      <c r="G369" s="359"/>
      <c r="H369" s="165"/>
    </row>
    <row r="370" spans="5:8" s="23" customFormat="1">
      <c r="E370" s="359"/>
      <c r="F370" s="359"/>
      <c r="G370" s="359"/>
      <c r="H370" s="165"/>
    </row>
    <row r="371" spans="5:8" s="23" customFormat="1">
      <c r="E371" s="359"/>
      <c r="F371" s="359"/>
      <c r="G371" s="359"/>
      <c r="H371" s="165"/>
    </row>
    <row r="372" spans="5:8" s="23" customFormat="1">
      <c r="E372" s="359"/>
      <c r="F372" s="359"/>
      <c r="G372" s="359"/>
      <c r="H372" s="165"/>
    </row>
    <row r="373" spans="5:8" s="23" customFormat="1">
      <c r="E373" s="359"/>
      <c r="F373" s="359"/>
      <c r="G373" s="359"/>
      <c r="H373" s="165"/>
    </row>
    <row r="374" spans="5:8" s="23" customFormat="1">
      <c r="E374" s="359"/>
      <c r="F374" s="359"/>
      <c r="G374" s="359"/>
      <c r="H374" s="165"/>
    </row>
    <row r="375" spans="5:8" s="23" customFormat="1">
      <c r="E375" s="359"/>
      <c r="F375" s="359"/>
      <c r="G375" s="359"/>
      <c r="H375" s="165"/>
    </row>
    <row r="376" spans="5:8" s="23" customFormat="1">
      <c r="E376" s="359"/>
      <c r="F376" s="359"/>
      <c r="G376" s="359"/>
      <c r="H376" s="165"/>
    </row>
    <row r="377" spans="5:8" s="23" customFormat="1">
      <c r="E377" s="359"/>
      <c r="F377" s="359"/>
      <c r="G377" s="359"/>
      <c r="H377" s="165"/>
    </row>
    <row r="378" spans="5:8" s="23" customFormat="1">
      <c r="E378" s="359"/>
      <c r="F378" s="359"/>
      <c r="G378" s="359"/>
      <c r="H378" s="165"/>
    </row>
    <row r="379" spans="5:8" s="23" customFormat="1">
      <c r="E379" s="359"/>
      <c r="F379" s="359"/>
      <c r="G379" s="359"/>
      <c r="H379" s="165"/>
    </row>
    <row r="380" spans="5:8" s="23" customFormat="1">
      <c r="E380" s="359"/>
      <c r="F380" s="359"/>
      <c r="G380" s="359"/>
      <c r="H380" s="165"/>
    </row>
    <row r="381" spans="5:8" s="23" customFormat="1">
      <c r="E381" s="359"/>
      <c r="F381" s="359"/>
      <c r="G381" s="359"/>
      <c r="H381" s="165"/>
    </row>
    <row r="382" spans="5:8" s="23" customFormat="1">
      <c r="E382" s="359"/>
      <c r="F382" s="359"/>
      <c r="G382" s="359"/>
      <c r="H382" s="165"/>
    </row>
    <row r="383" spans="5:8" s="23" customFormat="1">
      <c r="E383" s="359"/>
      <c r="F383" s="359"/>
      <c r="G383" s="359"/>
      <c r="H383" s="165"/>
    </row>
    <row r="384" spans="5:8" s="23" customFormat="1">
      <c r="E384" s="359"/>
      <c r="F384" s="359"/>
      <c r="G384" s="359"/>
      <c r="H384" s="165"/>
    </row>
    <row r="385" spans="5:8" s="23" customFormat="1">
      <c r="E385" s="359"/>
      <c r="F385" s="359"/>
      <c r="G385" s="359"/>
      <c r="H385" s="165"/>
    </row>
    <row r="386" spans="5:8" s="23" customFormat="1">
      <c r="E386" s="359"/>
      <c r="F386" s="359"/>
      <c r="G386" s="359"/>
      <c r="H386" s="165"/>
    </row>
    <row r="387" spans="5:8" s="23" customFormat="1">
      <c r="E387" s="359"/>
      <c r="F387" s="359"/>
      <c r="G387" s="359"/>
      <c r="H387" s="165"/>
    </row>
    <row r="388" spans="5:8" s="23" customFormat="1">
      <c r="E388" s="359"/>
      <c r="F388" s="359"/>
      <c r="G388" s="359"/>
      <c r="H388" s="165"/>
    </row>
    <row r="389" spans="5:8" s="23" customFormat="1">
      <c r="E389" s="359"/>
      <c r="F389" s="359"/>
      <c r="G389" s="359"/>
      <c r="H389" s="165"/>
    </row>
    <row r="390" spans="5:8" s="23" customFormat="1">
      <c r="E390" s="359"/>
      <c r="F390" s="359"/>
      <c r="G390" s="359"/>
      <c r="H390" s="165"/>
    </row>
    <row r="391" spans="5:8" s="23" customFormat="1">
      <c r="E391" s="359"/>
      <c r="F391" s="359"/>
      <c r="G391" s="359"/>
      <c r="H391" s="165"/>
    </row>
    <row r="392" spans="5:8" s="23" customFormat="1">
      <c r="E392" s="359"/>
      <c r="F392" s="359"/>
      <c r="G392" s="359"/>
      <c r="H392" s="165"/>
    </row>
    <row r="393" spans="5:8" s="23" customFormat="1">
      <c r="E393" s="359"/>
      <c r="F393" s="359"/>
      <c r="G393" s="359"/>
      <c r="H393" s="165"/>
    </row>
    <row r="394" spans="5:8" s="23" customFormat="1">
      <c r="E394" s="359"/>
      <c r="F394" s="359"/>
      <c r="G394" s="359"/>
      <c r="H394" s="165"/>
    </row>
    <row r="395" spans="5:8" s="23" customFormat="1">
      <c r="E395" s="359"/>
      <c r="F395" s="359"/>
      <c r="G395" s="359"/>
      <c r="H395" s="165"/>
    </row>
    <row r="396" spans="5:8" s="23" customFormat="1">
      <c r="E396" s="359"/>
      <c r="F396" s="359"/>
      <c r="G396" s="359"/>
      <c r="H396" s="165"/>
    </row>
    <row r="397" spans="5:8" s="23" customFormat="1">
      <c r="E397" s="359"/>
      <c r="F397" s="359"/>
      <c r="G397" s="359"/>
      <c r="H397" s="165"/>
    </row>
    <row r="398" spans="5:8" s="23" customFormat="1">
      <c r="E398" s="359"/>
      <c r="F398" s="359"/>
      <c r="G398" s="359"/>
      <c r="H398" s="165"/>
    </row>
    <row r="399" spans="5:8" s="23" customFormat="1">
      <c r="E399" s="359"/>
      <c r="F399" s="359"/>
      <c r="G399" s="359"/>
      <c r="H399" s="165"/>
    </row>
    <row r="400" spans="5:8" s="23" customFormat="1">
      <c r="E400" s="359"/>
      <c r="F400" s="359"/>
      <c r="G400" s="359"/>
      <c r="H400" s="165"/>
    </row>
    <row r="401" spans="5:8" s="23" customFormat="1">
      <c r="E401" s="359"/>
      <c r="F401" s="359"/>
      <c r="G401" s="359"/>
      <c r="H401" s="165"/>
    </row>
    <row r="402" spans="5:8" s="23" customFormat="1">
      <c r="E402" s="359"/>
      <c r="F402" s="359"/>
      <c r="G402" s="359"/>
      <c r="H402" s="165"/>
    </row>
    <row r="403" spans="5:8" s="23" customFormat="1">
      <c r="E403" s="359"/>
      <c r="F403" s="359"/>
      <c r="G403" s="359"/>
      <c r="H403" s="165"/>
    </row>
    <row r="404" spans="5:8" s="23" customFormat="1">
      <c r="E404" s="359"/>
      <c r="F404" s="359"/>
      <c r="G404" s="359"/>
      <c r="H404" s="165"/>
    </row>
    <row r="405" spans="5:8" s="23" customFormat="1">
      <c r="E405" s="359"/>
      <c r="F405" s="359"/>
      <c r="G405" s="359"/>
      <c r="H405" s="165"/>
    </row>
    <row r="406" spans="5:8" s="23" customFormat="1">
      <c r="E406" s="359"/>
      <c r="F406" s="359"/>
      <c r="G406" s="359"/>
      <c r="H406" s="165"/>
    </row>
    <row r="407" spans="5:8" s="23" customFormat="1">
      <c r="E407" s="359"/>
      <c r="F407" s="359"/>
      <c r="G407" s="359"/>
      <c r="H407" s="165"/>
    </row>
    <row r="408" spans="5:8" s="23" customFormat="1">
      <c r="E408" s="359"/>
      <c r="F408" s="359"/>
      <c r="G408" s="359"/>
      <c r="H408" s="165"/>
    </row>
    <row r="409" spans="5:8" s="23" customFormat="1">
      <c r="E409" s="359"/>
      <c r="F409" s="359"/>
      <c r="G409" s="359"/>
      <c r="H409" s="165"/>
    </row>
    <row r="410" spans="5:8" s="23" customFormat="1">
      <c r="E410" s="359"/>
      <c r="F410" s="359"/>
      <c r="G410" s="359"/>
      <c r="H410" s="165"/>
    </row>
    <row r="411" spans="5:8" s="23" customFormat="1">
      <c r="E411" s="359"/>
      <c r="F411" s="359"/>
      <c r="G411" s="359"/>
      <c r="H411" s="165"/>
    </row>
    <row r="412" spans="5:8" s="23" customFormat="1">
      <c r="E412" s="359"/>
      <c r="F412" s="359"/>
      <c r="G412" s="359"/>
      <c r="H412" s="165"/>
    </row>
    <row r="413" spans="5:8" s="23" customFormat="1">
      <c r="E413" s="359"/>
      <c r="F413" s="359"/>
      <c r="G413" s="359"/>
      <c r="H413" s="165"/>
    </row>
    <row r="414" spans="5:8" s="23" customFormat="1">
      <c r="E414" s="359"/>
      <c r="F414" s="359"/>
      <c r="G414" s="359"/>
      <c r="H414" s="165"/>
    </row>
    <row r="415" spans="5:8" s="23" customFormat="1">
      <c r="E415" s="359"/>
      <c r="F415" s="359"/>
      <c r="G415" s="359"/>
      <c r="H415" s="165"/>
    </row>
    <row r="416" spans="5:8" s="23" customFormat="1">
      <c r="E416" s="359"/>
      <c r="F416" s="359"/>
      <c r="G416" s="359"/>
      <c r="H416" s="165"/>
    </row>
    <row r="417" spans="5:8" s="23" customFormat="1">
      <c r="E417" s="359"/>
      <c r="F417" s="359"/>
      <c r="G417" s="359"/>
      <c r="H417" s="165"/>
    </row>
    <row r="418" spans="5:8" s="23" customFormat="1">
      <c r="E418" s="359"/>
      <c r="F418" s="359"/>
      <c r="G418" s="359"/>
      <c r="H418" s="165"/>
    </row>
    <row r="419" spans="5:8" s="23" customFormat="1">
      <c r="E419" s="359"/>
      <c r="F419" s="359"/>
      <c r="G419" s="359"/>
      <c r="H419" s="165"/>
    </row>
    <row r="420" spans="5:8" s="23" customFormat="1">
      <c r="E420" s="359"/>
      <c r="F420" s="359"/>
      <c r="G420" s="359"/>
      <c r="H420" s="165"/>
    </row>
    <row r="421" spans="5:8" s="23" customFormat="1">
      <c r="E421" s="359"/>
      <c r="F421" s="359"/>
      <c r="G421" s="359"/>
      <c r="H421" s="165"/>
    </row>
    <row r="422" spans="5:8" s="23" customFormat="1">
      <c r="E422" s="359"/>
      <c r="F422" s="359"/>
      <c r="G422" s="359"/>
      <c r="H422" s="165"/>
    </row>
    <row r="423" spans="5:8" s="23" customFormat="1">
      <c r="E423" s="359"/>
      <c r="F423" s="359"/>
      <c r="G423" s="359"/>
      <c r="H423" s="165"/>
    </row>
    <row r="424" spans="5:8" s="23" customFormat="1">
      <c r="E424" s="359"/>
      <c r="F424" s="359"/>
      <c r="G424" s="359"/>
      <c r="H424" s="165"/>
    </row>
    <row r="425" spans="5:8" s="23" customFormat="1">
      <c r="E425" s="359"/>
      <c r="F425" s="359"/>
      <c r="G425" s="359"/>
      <c r="H425" s="165"/>
    </row>
    <row r="426" spans="5:8" s="23" customFormat="1">
      <c r="E426" s="359"/>
      <c r="F426" s="359"/>
      <c r="G426" s="359"/>
      <c r="H426" s="165"/>
    </row>
    <row r="427" spans="5:8" s="23" customFormat="1">
      <c r="E427" s="359"/>
      <c r="F427" s="359"/>
      <c r="G427" s="359"/>
      <c r="H427" s="165"/>
    </row>
    <row r="428" spans="5:8" s="23" customFormat="1">
      <c r="E428" s="359"/>
      <c r="F428" s="359"/>
      <c r="G428" s="359"/>
      <c r="H428" s="165"/>
    </row>
    <row r="429" spans="5:8" s="23" customFormat="1">
      <c r="E429" s="359"/>
      <c r="F429" s="359"/>
      <c r="G429" s="359"/>
      <c r="H429" s="165"/>
    </row>
    <row r="430" spans="5:8" s="23" customFormat="1">
      <c r="E430" s="359"/>
      <c r="F430" s="359"/>
      <c r="G430" s="359"/>
      <c r="H430" s="165"/>
    </row>
    <row r="431" spans="5:8" s="23" customFormat="1">
      <c r="E431" s="359"/>
      <c r="F431" s="359"/>
      <c r="G431" s="359"/>
      <c r="H431" s="165"/>
    </row>
    <row r="432" spans="5:8" s="23" customFormat="1">
      <c r="E432" s="359"/>
      <c r="F432" s="359"/>
      <c r="G432" s="359"/>
      <c r="H432" s="165"/>
    </row>
    <row r="433" spans="5:8" s="23" customFormat="1">
      <c r="E433" s="359"/>
      <c r="F433" s="359"/>
      <c r="G433" s="359"/>
      <c r="H433" s="165"/>
    </row>
    <row r="434" spans="5:8" s="23" customFormat="1">
      <c r="E434" s="359"/>
      <c r="F434" s="359"/>
      <c r="G434" s="359"/>
      <c r="H434" s="165"/>
    </row>
    <row r="435" spans="5:8" s="23" customFormat="1">
      <c r="E435" s="359"/>
      <c r="F435" s="359"/>
      <c r="G435" s="359"/>
      <c r="H435" s="165"/>
    </row>
    <row r="436" spans="5:8" s="23" customFormat="1">
      <c r="E436" s="359"/>
      <c r="F436" s="359"/>
      <c r="G436" s="359"/>
      <c r="H436" s="165"/>
    </row>
    <row r="437" spans="5:8" s="23" customFormat="1">
      <c r="E437" s="359"/>
      <c r="F437" s="359"/>
      <c r="G437" s="359"/>
      <c r="H437" s="165"/>
    </row>
    <row r="438" spans="5:8" s="23" customFormat="1">
      <c r="E438" s="359"/>
      <c r="F438" s="359"/>
      <c r="G438" s="359"/>
      <c r="H438" s="165"/>
    </row>
    <row r="439" spans="5:8" s="23" customFormat="1">
      <c r="E439" s="359"/>
      <c r="F439" s="359"/>
      <c r="G439" s="359"/>
      <c r="H439" s="165"/>
    </row>
    <row r="440" spans="5:8" s="23" customFormat="1">
      <c r="E440" s="359"/>
      <c r="F440" s="359"/>
      <c r="G440" s="359"/>
      <c r="H440" s="165"/>
    </row>
    <row r="441" spans="5:8" s="23" customFormat="1">
      <c r="E441" s="359"/>
      <c r="F441" s="359"/>
      <c r="G441" s="359"/>
      <c r="H441" s="165"/>
    </row>
    <row r="442" spans="5:8" s="23" customFormat="1">
      <c r="E442" s="359"/>
      <c r="F442" s="359"/>
      <c r="G442" s="359"/>
      <c r="H442" s="165"/>
    </row>
    <row r="443" spans="5:8" s="23" customFormat="1">
      <c r="E443" s="359"/>
      <c r="F443" s="359"/>
      <c r="G443" s="359"/>
      <c r="H443" s="165"/>
    </row>
    <row r="444" spans="5:8" s="23" customFormat="1">
      <c r="E444" s="359"/>
      <c r="F444" s="359"/>
      <c r="G444" s="359"/>
      <c r="H444" s="165"/>
    </row>
    <row r="445" spans="5:8" s="23" customFormat="1">
      <c r="E445" s="359"/>
      <c r="F445" s="359"/>
      <c r="G445" s="359"/>
      <c r="H445" s="165"/>
    </row>
    <row r="446" spans="5:8" s="23" customFormat="1">
      <c r="E446" s="359"/>
      <c r="F446" s="359"/>
      <c r="G446" s="359"/>
      <c r="H446" s="165"/>
    </row>
    <row r="447" spans="5:8" s="23" customFormat="1">
      <c r="E447" s="359"/>
      <c r="F447" s="359"/>
      <c r="G447" s="359"/>
      <c r="H447" s="165"/>
    </row>
    <row r="448" spans="5:8" s="23" customFormat="1">
      <c r="E448" s="359"/>
      <c r="F448" s="359"/>
      <c r="G448" s="359"/>
      <c r="H448" s="165"/>
    </row>
    <row r="449" spans="5:8" s="23" customFormat="1">
      <c r="E449" s="359"/>
      <c r="F449" s="359"/>
      <c r="G449" s="359"/>
      <c r="H449" s="165"/>
    </row>
    <row r="450" spans="5:8" s="23" customFormat="1">
      <c r="E450" s="359"/>
      <c r="F450" s="359"/>
      <c r="G450" s="359"/>
      <c r="H450" s="165"/>
    </row>
    <row r="451" spans="5:8" s="23" customFormat="1">
      <c r="E451" s="359"/>
      <c r="F451" s="359"/>
      <c r="G451" s="359"/>
      <c r="H451" s="165"/>
    </row>
    <row r="452" spans="5:8" s="23" customFormat="1">
      <c r="E452" s="359"/>
      <c r="F452" s="359"/>
      <c r="G452" s="359"/>
      <c r="H452" s="165"/>
    </row>
    <row r="453" spans="5:8" s="23" customFormat="1">
      <c r="E453" s="359"/>
      <c r="F453" s="359"/>
      <c r="G453" s="359"/>
      <c r="H453" s="165"/>
    </row>
    <row r="454" spans="5:8" s="23" customFormat="1">
      <c r="E454" s="359"/>
      <c r="F454" s="359"/>
      <c r="G454" s="359"/>
      <c r="H454" s="165"/>
    </row>
    <row r="455" spans="5:8" s="23" customFormat="1">
      <c r="E455" s="359"/>
      <c r="F455" s="359"/>
      <c r="G455" s="359"/>
      <c r="H455" s="165"/>
    </row>
    <row r="456" spans="5:8" s="23" customFormat="1">
      <c r="E456" s="359"/>
      <c r="F456" s="359"/>
      <c r="G456" s="359"/>
      <c r="H456" s="165"/>
    </row>
    <row r="457" spans="5:8" s="23" customFormat="1">
      <c r="E457" s="359"/>
      <c r="F457" s="359"/>
      <c r="G457" s="359"/>
      <c r="H457" s="165"/>
    </row>
    <row r="458" spans="5:8" s="23" customFormat="1">
      <c r="E458" s="359"/>
      <c r="F458" s="359"/>
      <c r="G458" s="359"/>
      <c r="H458" s="165"/>
    </row>
    <row r="459" spans="5:8" s="23" customFormat="1">
      <c r="E459" s="359"/>
      <c r="F459" s="359"/>
      <c r="G459" s="359"/>
      <c r="H459" s="165"/>
    </row>
    <row r="460" spans="5:8" s="23" customFormat="1">
      <c r="E460" s="359"/>
      <c r="F460" s="359"/>
      <c r="G460" s="359"/>
      <c r="H460" s="165"/>
    </row>
    <row r="461" spans="5:8" s="23" customFormat="1">
      <c r="E461" s="359"/>
      <c r="F461" s="359"/>
      <c r="G461" s="359"/>
      <c r="H461" s="165"/>
    </row>
    <row r="462" spans="5:8" s="23" customFormat="1">
      <c r="E462" s="359"/>
      <c r="F462" s="359"/>
      <c r="G462" s="359"/>
      <c r="H462" s="165"/>
    </row>
    <row r="463" spans="5:8" s="23" customFormat="1">
      <c r="E463" s="359"/>
      <c r="F463" s="359"/>
      <c r="G463" s="359"/>
      <c r="H463" s="165"/>
    </row>
    <row r="464" spans="5:8" s="23" customFormat="1">
      <c r="E464" s="359"/>
      <c r="F464" s="359"/>
      <c r="G464" s="359"/>
      <c r="H464" s="165"/>
    </row>
    <row r="465" spans="5:8" s="23" customFormat="1">
      <c r="E465" s="359"/>
      <c r="F465" s="359"/>
      <c r="G465" s="359"/>
      <c r="H465" s="165"/>
    </row>
    <row r="466" spans="5:8" s="23" customFormat="1">
      <c r="E466" s="359"/>
      <c r="F466" s="359"/>
      <c r="G466" s="359"/>
      <c r="H466" s="165"/>
    </row>
    <row r="467" spans="5:8" s="23" customFormat="1">
      <c r="E467" s="359"/>
      <c r="F467" s="359"/>
      <c r="G467" s="359"/>
      <c r="H467" s="165"/>
    </row>
    <row r="468" spans="5:8" s="23" customFormat="1">
      <c r="E468" s="359"/>
      <c r="F468" s="359"/>
      <c r="G468" s="359"/>
      <c r="H468" s="165"/>
    </row>
    <row r="469" spans="5:8" s="23" customFormat="1">
      <c r="E469" s="359"/>
      <c r="F469" s="359"/>
      <c r="G469" s="359"/>
      <c r="H469" s="165"/>
    </row>
    <row r="470" spans="5:8" s="23" customFormat="1">
      <c r="E470" s="359"/>
      <c r="F470" s="359"/>
      <c r="G470" s="359"/>
      <c r="H470" s="165"/>
    </row>
    <row r="471" spans="5:8" s="23" customFormat="1">
      <c r="E471" s="359"/>
      <c r="F471" s="359"/>
      <c r="G471" s="359"/>
      <c r="H471" s="165"/>
    </row>
    <row r="472" spans="5:8" s="23" customFormat="1">
      <c r="E472" s="359"/>
      <c r="F472" s="359"/>
      <c r="G472" s="359"/>
      <c r="H472" s="165"/>
    </row>
    <row r="473" spans="5:8" s="23" customFormat="1">
      <c r="E473" s="359"/>
      <c r="F473" s="359"/>
      <c r="G473" s="359"/>
      <c r="H473" s="165"/>
    </row>
    <row r="474" spans="5:8" s="23" customFormat="1">
      <c r="E474" s="359"/>
      <c r="F474" s="359"/>
      <c r="G474" s="359"/>
      <c r="H474" s="165"/>
    </row>
    <row r="475" spans="5:8" s="23" customFormat="1">
      <c r="E475" s="359"/>
      <c r="F475" s="359"/>
      <c r="G475" s="359"/>
      <c r="H475" s="165"/>
    </row>
    <row r="476" spans="5:8" s="23" customFormat="1">
      <c r="E476" s="359"/>
      <c r="F476" s="359"/>
      <c r="G476" s="359"/>
      <c r="H476" s="165"/>
    </row>
    <row r="477" spans="5:8" s="23" customFormat="1">
      <c r="E477" s="359"/>
      <c r="F477" s="359"/>
      <c r="G477" s="359"/>
      <c r="H477" s="165"/>
    </row>
    <row r="478" spans="5:8" s="23" customFormat="1">
      <c r="E478" s="359"/>
      <c r="F478" s="359"/>
      <c r="G478" s="359"/>
      <c r="H478" s="165"/>
    </row>
    <row r="479" spans="5:8" s="23" customFormat="1">
      <c r="E479" s="359"/>
      <c r="F479" s="359"/>
      <c r="G479" s="359"/>
      <c r="H479" s="165"/>
    </row>
    <row r="480" spans="5:8" s="23" customFormat="1">
      <c r="E480" s="359"/>
      <c r="F480" s="359"/>
      <c r="G480" s="359"/>
      <c r="H480" s="165"/>
    </row>
    <row r="481" spans="5:8" s="23" customFormat="1">
      <c r="E481" s="359"/>
      <c r="F481" s="359"/>
      <c r="G481" s="359"/>
      <c r="H481" s="165"/>
    </row>
    <row r="482" spans="5:8" s="23" customFormat="1">
      <c r="E482" s="359"/>
      <c r="F482" s="359"/>
      <c r="G482" s="359"/>
      <c r="H482" s="165"/>
    </row>
    <row r="483" spans="5:8" s="23" customFormat="1">
      <c r="E483" s="359"/>
      <c r="F483" s="359"/>
      <c r="G483" s="359"/>
      <c r="H483" s="165"/>
    </row>
    <row r="484" spans="5:8" s="23" customFormat="1">
      <c r="E484" s="359"/>
      <c r="F484" s="359"/>
      <c r="G484" s="359"/>
      <c r="H484" s="165"/>
    </row>
    <row r="485" spans="5:8" s="23" customFormat="1">
      <c r="E485" s="359"/>
      <c r="F485" s="359"/>
      <c r="G485" s="359"/>
      <c r="H485" s="165"/>
    </row>
    <row r="486" spans="5:8" s="23" customFormat="1">
      <c r="E486" s="359"/>
      <c r="F486" s="359"/>
      <c r="G486" s="359"/>
      <c r="H486" s="165"/>
    </row>
    <row r="487" spans="5:8" s="23" customFormat="1">
      <c r="E487" s="359"/>
      <c r="F487" s="359"/>
      <c r="G487" s="359"/>
      <c r="H487" s="165"/>
    </row>
    <row r="488" spans="5:8" s="23" customFormat="1">
      <c r="E488" s="359"/>
      <c r="F488" s="359"/>
      <c r="G488" s="359"/>
      <c r="H488" s="165"/>
    </row>
    <row r="489" spans="5:8" s="23" customFormat="1">
      <c r="E489" s="359"/>
      <c r="F489" s="359"/>
      <c r="G489" s="359"/>
      <c r="H489" s="165"/>
    </row>
    <row r="490" spans="5:8" s="23" customFormat="1">
      <c r="E490" s="359"/>
      <c r="F490" s="359"/>
      <c r="G490" s="359"/>
      <c r="H490" s="165"/>
    </row>
    <row r="491" spans="5:8" s="23" customFormat="1">
      <c r="E491" s="359"/>
      <c r="F491" s="359"/>
      <c r="G491" s="359"/>
      <c r="H491" s="165"/>
    </row>
    <row r="492" spans="5:8" s="23" customFormat="1">
      <c r="E492" s="359"/>
      <c r="F492" s="359"/>
      <c r="G492" s="359"/>
      <c r="H492" s="165"/>
    </row>
    <row r="493" spans="5:8" s="23" customFormat="1">
      <c r="E493" s="359"/>
      <c r="F493" s="359"/>
      <c r="G493" s="359"/>
      <c r="H493" s="165"/>
    </row>
    <row r="494" spans="5:8" s="23" customFormat="1">
      <c r="E494" s="359"/>
      <c r="F494" s="359"/>
      <c r="G494" s="359"/>
      <c r="H494" s="165"/>
    </row>
    <row r="495" spans="5:8" s="23" customFormat="1">
      <c r="E495" s="359"/>
      <c r="F495" s="359"/>
      <c r="G495" s="359"/>
      <c r="H495" s="165"/>
    </row>
    <row r="496" spans="5:8" s="23" customFormat="1">
      <c r="E496" s="359"/>
      <c r="F496" s="359"/>
      <c r="G496" s="359"/>
      <c r="H496" s="165"/>
    </row>
    <row r="497" spans="5:8" s="23" customFormat="1">
      <c r="E497" s="359"/>
      <c r="F497" s="359"/>
      <c r="G497" s="359"/>
      <c r="H497" s="165"/>
    </row>
    <row r="498" spans="5:8" s="23" customFormat="1">
      <c r="E498" s="359"/>
      <c r="F498" s="359"/>
      <c r="G498" s="359"/>
      <c r="H498" s="165"/>
    </row>
    <row r="499" spans="5:8" s="23" customFormat="1">
      <c r="E499" s="359"/>
      <c r="F499" s="359"/>
      <c r="G499" s="359"/>
      <c r="H499" s="165"/>
    </row>
    <row r="500" spans="5:8" s="23" customFormat="1">
      <c r="E500" s="359"/>
      <c r="F500" s="359"/>
      <c r="G500" s="359"/>
      <c r="H500" s="165"/>
    </row>
    <row r="501" spans="5:8" s="23" customFormat="1">
      <c r="E501" s="359"/>
      <c r="F501" s="359"/>
      <c r="G501" s="359"/>
      <c r="H501" s="165"/>
    </row>
    <row r="502" spans="5:8" s="23" customFormat="1">
      <c r="E502" s="359"/>
      <c r="F502" s="359"/>
      <c r="G502" s="359"/>
      <c r="H502" s="165"/>
    </row>
    <row r="503" spans="5:8" s="23" customFormat="1">
      <c r="E503" s="359"/>
      <c r="F503" s="359"/>
      <c r="G503" s="359"/>
      <c r="H503" s="165"/>
    </row>
    <row r="504" spans="5:8" s="23" customFormat="1">
      <c r="E504" s="359"/>
      <c r="F504" s="359"/>
      <c r="G504" s="359"/>
      <c r="H504" s="165"/>
    </row>
    <row r="505" spans="5:8" s="23" customFormat="1">
      <c r="E505" s="359"/>
      <c r="F505" s="359"/>
      <c r="G505" s="359"/>
      <c r="H505" s="165"/>
    </row>
    <row r="506" spans="5:8" s="23" customFormat="1">
      <c r="E506" s="359"/>
      <c r="F506" s="359"/>
      <c r="G506" s="359"/>
      <c r="H506" s="165"/>
    </row>
    <row r="507" spans="5:8" s="23" customFormat="1">
      <c r="E507" s="359"/>
      <c r="F507" s="359"/>
      <c r="G507" s="359"/>
      <c r="H507" s="165"/>
    </row>
    <row r="508" spans="5:8" s="23" customFormat="1">
      <c r="E508" s="359"/>
      <c r="F508" s="359"/>
      <c r="G508" s="359"/>
      <c r="H508" s="165"/>
    </row>
    <row r="509" spans="5:8" s="23" customFormat="1">
      <c r="E509" s="359"/>
      <c r="F509" s="359"/>
      <c r="G509" s="359"/>
      <c r="H509" s="165"/>
    </row>
    <row r="510" spans="5:8" s="23" customFormat="1">
      <c r="E510" s="359"/>
      <c r="F510" s="359"/>
      <c r="G510" s="359"/>
      <c r="H510" s="165"/>
    </row>
    <row r="511" spans="5:8" s="23" customFormat="1">
      <c r="E511" s="359"/>
      <c r="F511" s="359"/>
      <c r="G511" s="359"/>
      <c r="H511" s="165"/>
    </row>
    <row r="512" spans="5:8" s="23" customFormat="1">
      <c r="E512" s="359"/>
      <c r="F512" s="359"/>
      <c r="G512" s="359"/>
      <c r="H512" s="165"/>
    </row>
    <row r="513" spans="5:8" s="23" customFormat="1">
      <c r="E513" s="359"/>
      <c r="F513" s="359"/>
      <c r="G513" s="359"/>
      <c r="H513" s="165"/>
    </row>
    <row r="514" spans="5:8" s="23" customFormat="1">
      <c r="E514" s="359"/>
      <c r="F514" s="359"/>
      <c r="G514" s="359"/>
      <c r="H514" s="165"/>
    </row>
    <row r="515" spans="5:8" s="23" customFormat="1">
      <c r="E515" s="359"/>
      <c r="F515" s="359"/>
      <c r="G515" s="359"/>
      <c r="H515" s="165"/>
    </row>
    <row r="516" spans="5:8" s="23" customFormat="1">
      <c r="E516" s="359"/>
      <c r="F516" s="359"/>
      <c r="G516" s="359"/>
      <c r="H516" s="165"/>
    </row>
    <row r="517" spans="5:8" s="23" customFormat="1">
      <c r="E517" s="359"/>
      <c r="F517" s="359"/>
      <c r="G517" s="359"/>
      <c r="H517" s="165"/>
    </row>
    <row r="518" spans="5:8" s="23" customFormat="1">
      <c r="E518" s="359"/>
      <c r="F518" s="359"/>
      <c r="G518" s="359"/>
      <c r="H518" s="165"/>
    </row>
    <row r="519" spans="5:8" s="23" customFormat="1">
      <c r="E519" s="359"/>
      <c r="F519" s="359"/>
      <c r="G519" s="359"/>
      <c r="H519" s="165"/>
    </row>
    <row r="520" spans="5:8" s="23" customFormat="1">
      <c r="E520" s="359"/>
      <c r="F520" s="359"/>
      <c r="G520" s="359"/>
      <c r="H520" s="165"/>
    </row>
    <row r="521" spans="5:8" s="23" customFormat="1">
      <c r="E521" s="359"/>
      <c r="F521" s="359"/>
      <c r="G521" s="359"/>
      <c r="H521" s="165"/>
    </row>
    <row r="522" spans="5:8" s="23" customFormat="1">
      <c r="E522" s="359"/>
      <c r="F522" s="359"/>
      <c r="G522" s="359"/>
      <c r="H522" s="165"/>
    </row>
    <row r="523" spans="5:8" s="23" customFormat="1">
      <c r="E523" s="359"/>
      <c r="F523" s="359"/>
      <c r="G523" s="359"/>
      <c r="H523" s="165"/>
    </row>
    <row r="524" spans="5:8" s="23" customFormat="1">
      <c r="E524" s="359"/>
      <c r="F524" s="359"/>
      <c r="G524" s="359"/>
      <c r="H524" s="165"/>
    </row>
    <row r="525" spans="5:8" s="23" customFormat="1">
      <c r="E525" s="359"/>
      <c r="F525" s="359"/>
      <c r="G525" s="359"/>
      <c r="H525" s="165"/>
    </row>
    <row r="526" spans="5:8" s="23" customFormat="1">
      <c r="E526" s="359"/>
      <c r="F526" s="359"/>
      <c r="G526" s="359"/>
      <c r="H526" s="165"/>
    </row>
    <row r="527" spans="5:8" s="23" customFormat="1">
      <c r="E527" s="359"/>
      <c r="F527" s="359"/>
      <c r="G527" s="359"/>
      <c r="H527" s="165"/>
    </row>
    <row r="528" spans="5:8" s="23" customFormat="1">
      <c r="E528" s="359"/>
      <c r="F528" s="359"/>
      <c r="G528" s="359"/>
      <c r="H528" s="165"/>
    </row>
    <row r="529" spans="5:8" s="23" customFormat="1">
      <c r="E529" s="359"/>
      <c r="F529" s="359"/>
      <c r="G529" s="359"/>
      <c r="H529" s="165"/>
    </row>
    <row r="530" spans="5:8" s="23" customFormat="1">
      <c r="E530" s="359"/>
      <c r="F530" s="359"/>
      <c r="G530" s="359"/>
      <c r="H530" s="165"/>
    </row>
    <row r="531" spans="5:8" s="23" customFormat="1">
      <c r="E531" s="359"/>
      <c r="F531" s="359"/>
      <c r="G531" s="359"/>
      <c r="H531" s="165"/>
    </row>
    <row r="532" spans="5:8" s="23" customFormat="1">
      <c r="E532" s="359"/>
      <c r="F532" s="359"/>
      <c r="G532" s="359"/>
      <c r="H532" s="165"/>
    </row>
    <row r="533" spans="5:8" s="23" customFormat="1">
      <c r="E533" s="359"/>
      <c r="F533" s="359"/>
      <c r="G533" s="359"/>
      <c r="H533" s="165"/>
    </row>
    <row r="534" spans="5:8" s="23" customFormat="1">
      <c r="E534" s="359"/>
      <c r="F534" s="359"/>
      <c r="G534" s="359"/>
      <c r="H534" s="165"/>
    </row>
    <row r="535" spans="5:8" s="23" customFormat="1">
      <c r="E535" s="359"/>
      <c r="F535" s="359"/>
      <c r="G535" s="359"/>
      <c r="H535" s="165"/>
    </row>
    <row r="536" spans="5:8" s="23" customFormat="1">
      <c r="E536" s="359"/>
      <c r="F536" s="359"/>
      <c r="G536" s="359"/>
      <c r="H536" s="165"/>
    </row>
    <row r="537" spans="5:8" s="23" customFormat="1">
      <c r="E537" s="359"/>
      <c r="F537" s="359"/>
      <c r="G537" s="359"/>
      <c r="H537" s="165"/>
    </row>
    <row r="538" spans="5:8" s="23" customFormat="1">
      <c r="E538" s="359"/>
      <c r="F538" s="359"/>
      <c r="G538" s="359"/>
      <c r="H538" s="165"/>
    </row>
    <row r="539" spans="5:8" s="23" customFormat="1">
      <c r="E539" s="359"/>
      <c r="F539" s="359"/>
      <c r="G539" s="359"/>
      <c r="H539" s="165"/>
    </row>
    <row r="540" spans="5:8" s="23" customFormat="1">
      <c r="E540" s="359"/>
      <c r="F540" s="359"/>
      <c r="G540" s="359"/>
      <c r="H540" s="165"/>
    </row>
    <row r="541" spans="5:8" s="23" customFormat="1">
      <c r="E541" s="359"/>
      <c r="F541" s="359"/>
      <c r="G541" s="359"/>
      <c r="H541" s="165"/>
    </row>
    <row r="542" spans="5:8" s="23" customFormat="1">
      <c r="E542" s="359"/>
      <c r="F542" s="359"/>
      <c r="G542" s="359"/>
      <c r="H542" s="165"/>
    </row>
    <row r="543" spans="5:8" s="23" customFormat="1">
      <c r="E543" s="359"/>
      <c r="F543" s="359"/>
      <c r="G543" s="359"/>
      <c r="H543" s="165"/>
    </row>
    <row r="544" spans="5:8" s="23" customFormat="1">
      <c r="E544" s="359"/>
      <c r="F544" s="359"/>
      <c r="G544" s="359"/>
      <c r="H544" s="165"/>
    </row>
    <row r="545" spans="5:8" s="23" customFormat="1">
      <c r="E545" s="359"/>
      <c r="F545" s="359"/>
      <c r="G545" s="359"/>
      <c r="H545" s="165"/>
    </row>
    <row r="546" spans="5:8" s="23" customFormat="1">
      <c r="E546" s="359"/>
      <c r="F546" s="359"/>
      <c r="G546" s="359"/>
      <c r="H546" s="165"/>
    </row>
    <row r="547" spans="5:8" s="23" customFormat="1">
      <c r="E547" s="359"/>
      <c r="F547" s="359"/>
      <c r="G547" s="359"/>
      <c r="H547" s="165"/>
    </row>
    <row r="548" spans="5:8" s="23" customFormat="1">
      <c r="E548" s="359"/>
      <c r="F548" s="359"/>
      <c r="G548" s="359"/>
      <c r="H548" s="165"/>
    </row>
    <row r="549" spans="5:8" s="23" customFormat="1">
      <c r="E549" s="359"/>
      <c r="F549" s="359"/>
      <c r="G549" s="359"/>
      <c r="H549" s="165"/>
    </row>
    <row r="550" spans="5:8" s="23" customFormat="1">
      <c r="E550" s="359"/>
      <c r="F550" s="359"/>
      <c r="G550" s="359"/>
      <c r="H550" s="165"/>
    </row>
    <row r="551" spans="5:8" s="23" customFormat="1">
      <c r="E551" s="359"/>
      <c r="F551" s="359"/>
      <c r="G551" s="359"/>
      <c r="H551" s="165"/>
    </row>
    <row r="552" spans="5:8" s="23" customFormat="1">
      <c r="E552" s="359"/>
      <c r="F552" s="359"/>
      <c r="G552" s="359"/>
      <c r="H552" s="165"/>
    </row>
    <row r="553" spans="5:8" s="23" customFormat="1">
      <c r="E553" s="359"/>
      <c r="F553" s="359"/>
      <c r="G553" s="359"/>
      <c r="H553" s="165"/>
    </row>
    <row r="554" spans="5:8" s="23" customFormat="1">
      <c r="E554" s="359"/>
      <c r="F554" s="359"/>
      <c r="G554" s="359"/>
      <c r="H554" s="165"/>
    </row>
    <row r="555" spans="5:8" s="23" customFormat="1">
      <c r="E555" s="359"/>
      <c r="F555" s="359"/>
      <c r="G555" s="359"/>
      <c r="H555" s="165"/>
    </row>
    <row r="556" spans="5:8" s="23" customFormat="1">
      <c r="E556" s="359"/>
      <c r="F556" s="359"/>
      <c r="G556" s="359"/>
      <c r="H556" s="165"/>
    </row>
    <row r="557" spans="5:8" s="23" customFormat="1">
      <c r="E557" s="359"/>
      <c r="F557" s="359"/>
      <c r="G557" s="359"/>
      <c r="H557" s="165"/>
    </row>
    <row r="558" spans="5:8" s="23" customFormat="1">
      <c r="E558" s="359"/>
      <c r="F558" s="359"/>
      <c r="G558" s="359"/>
      <c r="H558" s="165"/>
    </row>
    <row r="559" spans="5:8" s="23" customFormat="1">
      <c r="E559" s="359"/>
      <c r="F559" s="359"/>
      <c r="G559" s="359"/>
      <c r="H559" s="165"/>
    </row>
    <row r="560" spans="5:8" s="23" customFormat="1">
      <c r="E560" s="359"/>
      <c r="F560" s="359"/>
      <c r="G560" s="359"/>
      <c r="H560" s="165"/>
    </row>
    <row r="561" spans="5:8" s="23" customFormat="1">
      <c r="E561" s="359"/>
      <c r="F561" s="359"/>
      <c r="G561" s="359"/>
      <c r="H561" s="165"/>
    </row>
    <row r="562" spans="5:8" s="23" customFormat="1">
      <c r="E562" s="359"/>
      <c r="F562" s="359"/>
      <c r="G562" s="359"/>
      <c r="H562" s="165"/>
    </row>
    <row r="563" spans="5:8" s="23" customFormat="1">
      <c r="E563" s="359"/>
      <c r="F563" s="359"/>
      <c r="G563" s="359"/>
      <c r="H563" s="165"/>
    </row>
    <row r="564" spans="5:8" s="23" customFormat="1">
      <c r="E564" s="359"/>
      <c r="F564" s="359"/>
      <c r="G564" s="359"/>
      <c r="H564" s="165"/>
    </row>
    <row r="565" spans="5:8" s="23" customFormat="1">
      <c r="E565" s="359"/>
      <c r="F565" s="359"/>
      <c r="G565" s="359"/>
      <c r="H565" s="165"/>
    </row>
    <row r="566" spans="5:8" s="23" customFormat="1">
      <c r="E566" s="359"/>
      <c r="F566" s="359"/>
      <c r="G566" s="359"/>
      <c r="H566" s="165"/>
    </row>
    <row r="567" spans="5:8" s="23" customFormat="1">
      <c r="E567" s="359"/>
      <c r="F567" s="359"/>
      <c r="G567" s="359"/>
      <c r="H567" s="165"/>
    </row>
    <row r="568" spans="5:8" s="23" customFormat="1">
      <c r="E568" s="359"/>
      <c r="F568" s="359"/>
      <c r="G568" s="359"/>
      <c r="H568" s="165"/>
    </row>
    <row r="569" spans="5:8" s="23" customFormat="1">
      <c r="E569" s="359"/>
      <c r="F569" s="359"/>
      <c r="G569" s="359"/>
      <c r="H569" s="165"/>
    </row>
    <row r="570" spans="5:8" s="23" customFormat="1">
      <c r="E570" s="359"/>
      <c r="F570" s="359"/>
      <c r="G570" s="359"/>
      <c r="H570" s="165"/>
    </row>
    <row r="571" spans="5:8" s="23" customFormat="1">
      <c r="E571" s="359"/>
      <c r="F571" s="359"/>
      <c r="G571" s="359"/>
      <c r="H571" s="165"/>
    </row>
    <row r="572" spans="5:8" s="23" customFormat="1">
      <c r="E572" s="359"/>
      <c r="F572" s="359"/>
      <c r="G572" s="359"/>
      <c r="H572" s="165"/>
    </row>
    <row r="573" spans="5:8" s="23" customFormat="1">
      <c r="E573" s="359"/>
      <c r="F573" s="359"/>
      <c r="G573" s="359"/>
      <c r="H573" s="165"/>
    </row>
    <row r="574" spans="5:8" s="23" customFormat="1">
      <c r="E574" s="359"/>
      <c r="F574" s="359"/>
      <c r="G574" s="359"/>
      <c r="H574" s="165"/>
    </row>
    <row r="575" spans="5:8" s="23" customFormat="1">
      <c r="E575" s="359"/>
      <c r="F575" s="359"/>
      <c r="G575" s="359"/>
      <c r="H575" s="165"/>
    </row>
    <row r="576" spans="5:8" s="23" customFormat="1">
      <c r="E576" s="359"/>
      <c r="F576" s="359"/>
      <c r="G576" s="359"/>
      <c r="H576" s="165"/>
    </row>
    <row r="577" spans="5:8" s="23" customFormat="1">
      <c r="E577" s="359"/>
      <c r="F577" s="359"/>
      <c r="G577" s="359"/>
      <c r="H577" s="165"/>
    </row>
    <row r="578" spans="5:8" s="23" customFormat="1">
      <c r="E578" s="359"/>
      <c r="F578" s="359"/>
      <c r="G578" s="359"/>
      <c r="H578" s="165"/>
    </row>
    <row r="579" spans="5:8" s="23" customFormat="1">
      <c r="E579" s="359"/>
      <c r="F579" s="359"/>
      <c r="G579" s="359"/>
      <c r="H579" s="165"/>
    </row>
    <row r="580" spans="5:8" s="23" customFormat="1">
      <c r="E580" s="359"/>
      <c r="F580" s="359"/>
      <c r="G580" s="359"/>
      <c r="H580" s="165"/>
    </row>
    <row r="581" spans="5:8" s="23" customFormat="1">
      <c r="E581" s="359"/>
      <c r="F581" s="359"/>
      <c r="G581" s="359"/>
      <c r="H581" s="165"/>
    </row>
    <row r="582" spans="5:8" s="23" customFormat="1">
      <c r="E582" s="359"/>
      <c r="F582" s="359"/>
      <c r="G582" s="359"/>
      <c r="H582" s="165"/>
    </row>
    <row r="583" spans="5:8" s="23" customFormat="1">
      <c r="E583" s="359"/>
      <c r="F583" s="359"/>
      <c r="G583" s="359"/>
      <c r="H583" s="165"/>
    </row>
    <row r="584" spans="5:8" s="23" customFormat="1">
      <c r="E584" s="359"/>
      <c r="F584" s="359"/>
      <c r="G584" s="359"/>
      <c r="H584" s="165"/>
    </row>
    <row r="585" spans="5:8" s="23" customFormat="1">
      <c r="E585" s="359"/>
      <c r="F585" s="359"/>
      <c r="G585" s="359"/>
      <c r="H585" s="165"/>
    </row>
    <row r="586" spans="5:8" s="23" customFormat="1">
      <c r="E586" s="359"/>
      <c r="F586" s="359"/>
      <c r="G586" s="359"/>
      <c r="H586" s="165"/>
    </row>
    <row r="587" spans="5:8" s="23" customFormat="1">
      <c r="E587" s="359"/>
      <c r="F587" s="359"/>
      <c r="G587" s="359"/>
      <c r="H587" s="165"/>
    </row>
    <row r="588" spans="5:8" s="23" customFormat="1">
      <c r="E588" s="359"/>
      <c r="F588" s="359"/>
      <c r="G588" s="359"/>
      <c r="H588" s="165"/>
    </row>
    <row r="589" spans="5:8" s="23" customFormat="1">
      <c r="E589" s="359"/>
      <c r="F589" s="359"/>
      <c r="G589" s="359"/>
      <c r="H589" s="165"/>
    </row>
    <row r="590" spans="5:8" s="23" customFormat="1">
      <c r="E590" s="359"/>
      <c r="F590" s="359"/>
      <c r="G590" s="359"/>
      <c r="H590" s="165"/>
    </row>
    <row r="591" spans="5:8" s="23" customFormat="1">
      <c r="E591" s="359"/>
      <c r="F591" s="359"/>
      <c r="G591" s="359"/>
      <c r="H591" s="165"/>
    </row>
    <row r="592" spans="5:8" s="23" customFormat="1">
      <c r="E592" s="359"/>
      <c r="F592" s="359"/>
      <c r="G592" s="359"/>
      <c r="H592" s="165"/>
    </row>
    <row r="593" spans="5:8" s="23" customFormat="1">
      <c r="E593" s="359"/>
      <c r="F593" s="359"/>
      <c r="G593" s="359"/>
      <c r="H593" s="165"/>
    </row>
    <row r="594" spans="5:8" s="23" customFormat="1">
      <c r="E594" s="359"/>
      <c r="F594" s="359"/>
      <c r="G594" s="359"/>
      <c r="H594" s="165"/>
    </row>
    <row r="595" spans="5:8" s="23" customFormat="1">
      <c r="E595" s="359"/>
      <c r="F595" s="359"/>
      <c r="G595" s="359"/>
      <c r="H595" s="165"/>
    </row>
    <row r="596" spans="5:8" s="23" customFormat="1">
      <c r="E596" s="359"/>
      <c r="F596" s="359"/>
      <c r="G596" s="359"/>
      <c r="H596" s="165"/>
    </row>
    <row r="597" spans="5:8" s="23" customFormat="1">
      <c r="E597" s="359"/>
      <c r="F597" s="359"/>
      <c r="G597" s="359"/>
      <c r="H597" s="165"/>
    </row>
    <row r="598" spans="5:8" s="23" customFormat="1">
      <c r="E598" s="359"/>
      <c r="F598" s="359"/>
      <c r="G598" s="359"/>
      <c r="H598" s="165"/>
    </row>
    <row r="599" spans="5:8" s="23" customFormat="1">
      <c r="E599" s="359"/>
      <c r="F599" s="359"/>
      <c r="G599" s="359"/>
      <c r="H599" s="165"/>
    </row>
    <row r="600" spans="5:8" s="23" customFormat="1">
      <c r="E600" s="359"/>
      <c r="F600" s="359"/>
      <c r="G600" s="359"/>
      <c r="H600" s="165"/>
    </row>
    <row r="601" spans="5:8" s="23" customFormat="1">
      <c r="E601" s="359"/>
      <c r="F601" s="359"/>
      <c r="G601" s="359"/>
      <c r="H601" s="165"/>
    </row>
    <row r="602" spans="5:8" s="23" customFormat="1">
      <c r="E602" s="359"/>
      <c r="F602" s="359"/>
      <c r="G602" s="359"/>
      <c r="H602" s="165"/>
    </row>
    <row r="603" spans="5:8" s="23" customFormat="1">
      <c r="E603" s="359"/>
      <c r="F603" s="359"/>
      <c r="G603" s="359"/>
      <c r="H603" s="165"/>
    </row>
    <row r="604" spans="5:8" s="23" customFormat="1">
      <c r="E604" s="359"/>
      <c r="F604" s="359"/>
      <c r="G604" s="359"/>
      <c r="H604" s="165"/>
    </row>
    <row r="605" spans="5:8" s="23" customFormat="1">
      <c r="E605" s="359"/>
      <c r="F605" s="359"/>
      <c r="G605" s="359"/>
      <c r="H605" s="165"/>
    </row>
    <row r="606" spans="5:8" s="23" customFormat="1">
      <c r="E606" s="359"/>
      <c r="F606" s="359"/>
      <c r="G606" s="359"/>
      <c r="H606" s="165"/>
    </row>
    <row r="607" spans="5:8" s="23" customFormat="1">
      <c r="E607" s="359"/>
      <c r="F607" s="359"/>
      <c r="G607" s="359"/>
      <c r="H607" s="165"/>
    </row>
    <row r="608" spans="5:8" s="23" customFormat="1">
      <c r="E608" s="359"/>
      <c r="F608" s="359"/>
      <c r="G608" s="359"/>
      <c r="H608" s="165"/>
    </row>
    <row r="609" spans="5:8" s="23" customFormat="1">
      <c r="E609" s="359"/>
      <c r="F609" s="359"/>
      <c r="G609" s="359"/>
      <c r="H609" s="165"/>
    </row>
    <row r="610" spans="5:8" s="23" customFormat="1">
      <c r="E610" s="359"/>
      <c r="F610" s="359"/>
      <c r="G610" s="359"/>
      <c r="H610" s="165"/>
    </row>
    <row r="611" spans="5:8" s="23" customFormat="1">
      <c r="E611" s="359"/>
      <c r="F611" s="359"/>
      <c r="G611" s="359"/>
      <c r="H611" s="165"/>
    </row>
    <row r="612" spans="5:8" s="23" customFormat="1">
      <c r="E612" s="359"/>
      <c r="F612" s="359"/>
      <c r="G612" s="359"/>
      <c r="H612" s="165"/>
    </row>
    <row r="613" spans="5:8" s="23" customFormat="1">
      <c r="E613" s="359"/>
      <c r="F613" s="359"/>
      <c r="G613" s="359"/>
      <c r="H613" s="165"/>
    </row>
    <row r="614" spans="5:8" s="23" customFormat="1">
      <c r="E614" s="359"/>
      <c r="F614" s="359"/>
      <c r="G614" s="359"/>
      <c r="H614" s="165"/>
    </row>
    <row r="615" spans="5:8" s="23" customFormat="1">
      <c r="E615" s="359"/>
      <c r="F615" s="359"/>
      <c r="G615" s="359"/>
      <c r="H615" s="165"/>
    </row>
  </sheetData>
  <sheetProtection algorithmName="SHA-512" hashValue="9mtPiK3ew/laADh2IyYblQd0csK/emhPjrq3KYgXikP7vD0Cm+8PPuwF/JZReyj7gyI4U2AMdC/1P+M2PJ+09g==" saltValue="fdFIWkcPr1doNq7bDNufzw==" spinCount="100000" sheet="1" objects="1" scenarios="1"/>
  <mergeCells count="1">
    <mergeCell ref="E4:G4"/>
  </mergeCells>
  <pageMargins left="0.7" right="0.7" top="0.75" bottom="0.75" header="0.3" footer="0.3"/>
  <pageSetup paperSize="8" scale="8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7"/>
  <dimension ref="A1:E7"/>
  <sheetViews>
    <sheetView workbookViewId="0">
      <selection activeCell="A6" sqref="A6:XFD6"/>
    </sheetView>
  </sheetViews>
  <sheetFormatPr defaultColWidth="8.81640625" defaultRowHeight="14.5"/>
  <cols>
    <col min="1" max="1" width="2.453125" bestFit="1" customWidth="1"/>
    <col min="2" max="2" width="17.36328125" bestFit="1" customWidth="1"/>
    <col min="3" max="5" width="11.6328125" bestFit="1" customWidth="1"/>
  </cols>
  <sheetData>
    <row r="1" spans="1:5">
      <c r="B1" s="3" t="s">
        <v>24</v>
      </c>
      <c r="C1" s="3" t="s">
        <v>25</v>
      </c>
      <c r="D1" s="3" t="s">
        <v>26</v>
      </c>
      <c r="E1" s="3" t="s">
        <v>27</v>
      </c>
    </row>
    <row r="2" spans="1:5" ht="17">
      <c r="A2" s="2" t="s">
        <v>9</v>
      </c>
      <c r="B2" s="1" t="s">
        <v>28</v>
      </c>
      <c r="C2" s="1" t="s">
        <v>33</v>
      </c>
      <c r="D2" s="1" t="s">
        <v>33</v>
      </c>
      <c r="E2" s="1" t="s">
        <v>31</v>
      </c>
    </row>
    <row r="3" spans="1:5" ht="17">
      <c r="A3" s="2" t="s">
        <v>10</v>
      </c>
      <c r="B3" s="1" t="s">
        <v>29</v>
      </c>
      <c r="C3" s="1" t="s">
        <v>34</v>
      </c>
      <c r="D3" s="1" t="s">
        <v>34</v>
      </c>
      <c r="E3" s="1" t="s">
        <v>32</v>
      </c>
    </row>
    <row r="4" spans="1:5" ht="17">
      <c r="A4" s="2" t="s">
        <v>11</v>
      </c>
      <c r="B4" s="1" t="s">
        <v>30</v>
      </c>
      <c r="C4" s="1" t="s">
        <v>35</v>
      </c>
      <c r="D4" s="1" t="s">
        <v>35</v>
      </c>
      <c r="E4" s="1" t="s">
        <v>30</v>
      </c>
    </row>
    <row r="7" spans="1:5">
      <c r="B7" s="8" t="s">
        <v>318</v>
      </c>
      <c r="C7" s="1" t="str">
        <f>+IF(Dashboard21!D19&gt;Dashboard21!D18,IF((ModPEF21!G17+ModPEF21!G40)&gt;0,"16.5a","16.5b"),IF((ModPEF21!G40+ModPEF21!G17)&gt;0,"16.6a","16.6b"))</f>
        <v>16.6b</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Dashboard21</vt:lpstr>
      <vt:lpstr>Definizioni</vt:lpstr>
      <vt:lpstr>Previsionali</vt:lpstr>
      <vt:lpstr>ModPEF21</vt:lpstr>
      <vt:lpstr>gamma</vt:lpstr>
      <vt:lpstr>Dashboard21!Area_stampa</vt:lpstr>
      <vt:lpstr>ModPEF21!Area_stampa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Nicoletta Barabaschi</dc:creator>
  <cp:lastModifiedBy>treviva</cp:lastModifiedBy>
  <cp:lastPrinted>2021-05-18T15:59:37Z</cp:lastPrinted>
  <dcterms:created xsi:type="dcterms:W3CDTF">2020-01-16T10:17:11Z</dcterms:created>
  <dcterms:modified xsi:type="dcterms:W3CDTF">2025-10-03T08:32:56Z</dcterms:modified>
</cp:coreProperties>
</file>